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SPOT CASH" sheetId="1" r:id="rId1"/>
    <sheet name="DEFFERED 20% SPOT" sheetId="2" r:id="rId2"/>
    <sheet name="BANK FIN" sheetId="3" r:id="rId3"/>
    <sheet name="BANK FIN STRETCH" sheetId="4" r:id="rId4"/>
  </sheets>
  <definedNames>
    <definedName name="ACServiceFee" localSheetId="3">'BANK FIN STRETCH'!$G$30</definedName>
    <definedName name="ACServiceFee" localSheetId="1">'DEFFERED 20% SPOT'!$G$28</definedName>
    <definedName name="ACServiceFee" localSheetId="0">'SPOT CASH'!$G$28</definedName>
    <definedName name="ACServiceFee">'BANK FIN'!$G$30</definedName>
    <definedName name="AllowedDefMonths" localSheetId="3">'BANK FIN STRETCH'!$G$7</definedName>
    <definedName name="AllowedDefMonths" localSheetId="1">'DEFFERED 20% SPOT'!$G$5</definedName>
    <definedName name="AllowedDefMonths">'BANK FIN'!$G$7</definedName>
    <definedName name="BookingDiscount" localSheetId="3">'BANK FIN STRETCH'!$G$18</definedName>
    <definedName name="BookingDiscount" localSheetId="1">'DEFFERED 20% SPOT'!$G$16</definedName>
    <definedName name="BookingDiscount" localSheetId="0">'SPOT CASH'!$G$16</definedName>
    <definedName name="BookingDiscount">'BANK FIN'!$G$18</definedName>
    <definedName name="BulkDiscount" localSheetId="3">'BANK FIN STRETCH'!$G$21</definedName>
    <definedName name="BulkDiscount" localSheetId="1">'DEFFERED 20% SPOT'!$G$19</definedName>
    <definedName name="BulkDiscount" localSheetId="0">'SPOT CASH'!$G$19</definedName>
    <definedName name="BulkDiscount">'BANK FIN'!$G$21</definedName>
    <definedName name="CommittedSalesDiscount" localSheetId="3">'BANK FIN STRETCH'!$G$17</definedName>
    <definedName name="CommittedSalesDiscount" localSheetId="1">'DEFFERED 20% SPOT'!$G$15</definedName>
    <definedName name="CommittedSalesDiscount" localSheetId="0">'SPOT CASH'!$G$15</definedName>
    <definedName name="CommittedSalesDiscount">'BANK FIN'!$G$17</definedName>
    <definedName name="Discount1Desc" localSheetId="3">'BANK FIN STRETCH'!$B$23</definedName>
    <definedName name="Discount1Desc" localSheetId="1">'DEFFERED 20% SPOT'!$B$21</definedName>
    <definedName name="Discount1Desc" localSheetId="0">'SPOT CASH'!$B$21</definedName>
    <definedName name="Discount1Desc">'BANK FIN'!$B$23</definedName>
    <definedName name="Discount1Value" localSheetId="3">'BANK FIN STRETCH'!$G$23</definedName>
    <definedName name="Discount1Value" localSheetId="1">'DEFFERED 20% SPOT'!$G$21</definedName>
    <definedName name="Discount1Value" localSheetId="0">'SPOT CASH'!$G$21</definedName>
    <definedName name="Discount1Value">'BANK FIN'!$G$23</definedName>
    <definedName name="Discount2Desc" localSheetId="3">'BANK FIN STRETCH'!$B$24</definedName>
    <definedName name="Discount2Desc" localSheetId="1">'DEFFERED 20% SPOT'!$B$22</definedName>
    <definedName name="Discount2Desc" localSheetId="0">'SPOT CASH'!$B$22</definedName>
    <definedName name="Discount2Desc">'BANK FIN'!$B$24</definedName>
    <definedName name="Discount2Value" localSheetId="3">'BANK FIN STRETCH'!$G$24</definedName>
    <definedName name="Discount2Value" localSheetId="1">'DEFFERED 20% SPOT'!$G$22</definedName>
    <definedName name="Discount2Value" localSheetId="0">'SPOT CASH'!$G$22</definedName>
    <definedName name="Discount2Value">'BANK FIN'!$G$24</definedName>
    <definedName name="Downpayment" localSheetId="3">'BANK FIN STRETCH'!$A$35</definedName>
    <definedName name="Downpayment" localSheetId="1">'DEFFERED 20% SPOT'!$A$33</definedName>
    <definedName name="Downpayment" localSheetId="0">'SPOT CASH'!$C$33</definedName>
    <definedName name="Downpayment">'BANK FIN'!$A$35</definedName>
    <definedName name="DPDate" localSheetId="3">'BANK FIN STRETCH'!$D$42</definedName>
    <definedName name="DPDate" localSheetId="1">'DEFFERED 20% SPOT'!$F$36</definedName>
    <definedName name="DPDate" localSheetId="0">'SPOT CASH'!$E$32</definedName>
    <definedName name="DPDate">'BANK FIN'!$F$43</definedName>
    <definedName name="EmployeeDiscount" localSheetId="3">'BANK FIN STRETCH'!$G$20</definedName>
    <definedName name="EmployeeDiscount" localSheetId="1">'DEFFERED 20% SPOT'!$G$18</definedName>
    <definedName name="EmployeeDiscount" localSheetId="0">'SPOT CASH'!$G$18</definedName>
    <definedName name="EmployeeDiscount">'BANK FIN'!$G$20</definedName>
    <definedName name="Floor" localSheetId="3">'BANK FIN STRETCH'!$C$9</definedName>
    <definedName name="Floor" localSheetId="1">'DEFFERED 20% SPOT'!$C$7</definedName>
    <definedName name="Floor" localSheetId="0">'SPOT CASH'!$C$7</definedName>
    <definedName name="Floor">'BANK FIN'!$C$9</definedName>
    <definedName name="FloorArea" localSheetId="3">'BANK FIN STRETCH'!$D$9</definedName>
    <definedName name="FloorArea" localSheetId="1">'DEFFERED 20% SPOT'!$D$7</definedName>
    <definedName name="FloorArea" localSheetId="0">'SPOT CASH'!$D$7</definedName>
    <definedName name="FloorArea">'BANK FIN'!$D$9</definedName>
    <definedName name="LumpOCDate" localSheetId="3">'BANK FIN STRETCH'!$B$26</definedName>
    <definedName name="LumpOCDate" localSheetId="1">'DEFFERED 20% SPOT'!$F$40</definedName>
    <definedName name="LumpOCDate" localSheetId="0">'SPOT CASH'!$B$24</definedName>
    <definedName name="LumpOCDate">'BANK FIN'!$B$26</definedName>
    <definedName name="Mode" localSheetId="3">'BANK FIN STRETCH'!$D$6</definedName>
    <definedName name="Mode" localSheetId="1">'DEFFERED 20% SPOT'!$D$4</definedName>
    <definedName name="Mode" localSheetId="0">'SPOT CASH'!$D$4</definedName>
    <definedName name="Mode">'BANK FIN'!$D$6</definedName>
    <definedName name="Model" localSheetId="3">'BANK FIN STRETCH'!$F$9</definedName>
    <definedName name="Model" localSheetId="1">'DEFFERED 20% SPOT'!$F$7</definedName>
    <definedName name="Model" localSheetId="0">'SPOT CASH'!$F$7</definedName>
    <definedName name="Model">'BANK FIN'!$F$9</definedName>
    <definedName name="NoDPSchedule" localSheetId="3">'BANK FIN STRETCH'!$A$41</definedName>
    <definedName name="NoDPSchedule" localSheetId="1">'DEFFERED 20% SPOT'!$A$43</definedName>
    <definedName name="NoDPSchedule" localSheetId="0">'SPOT CASH'!$B$33</definedName>
    <definedName name="NoDPSchedule">'BANK FIN'!$A$49</definedName>
    <definedName name="Note1" localSheetId="3">'BANK FIN STRETCH'!$A$109</definedName>
    <definedName name="Note1" localSheetId="1">'DEFFERED 20% SPOT'!$A$106</definedName>
    <definedName name="Note1" localSheetId="0">'SPOT CASH'!$A$39</definedName>
    <definedName name="Note1">'BANK FIN'!$A$117</definedName>
    <definedName name="OtherBSDiscount" localSheetId="3">'BANK FIN STRETCH'!$G$19</definedName>
    <definedName name="OtherBSDiscount" localSheetId="1">'DEFFERED 20% SPOT'!$G$17</definedName>
    <definedName name="OtherBSDiscount" localSheetId="0">'SPOT CASH'!$G$17</definedName>
    <definedName name="OtherBSDiscount">'BANK FIN'!$G$19</definedName>
    <definedName name="OtherChargesPercentage" localSheetId="3">'BANK FIN STRETCH'!$A$28</definedName>
    <definedName name="OtherChargesPercentage" localSheetId="1">'DEFFERED 20% SPOT'!$A$26</definedName>
    <definedName name="OtherChargesPercentage" localSheetId="0">'SPOT CASH'!$A$26</definedName>
    <definedName name="OtherChargesPercentage">'BANK FIN'!$A$28</definedName>
    <definedName name="OtherDiscount" localSheetId="3">'BANK FIN STRETCH'!$G$22</definedName>
    <definedName name="OtherDiscount" localSheetId="1">'DEFFERED 20% SPOT'!$G$20</definedName>
    <definedName name="OtherDiscount" localSheetId="0">'SPOT CASH'!$G$20</definedName>
    <definedName name="OtherDiscount">'BANK FIN'!$G$22</definedName>
    <definedName name="OtherRSDiscount" localSheetId="3">'BANK FIN STRETCH'!$G$16</definedName>
    <definedName name="OtherRSDiscount" localSheetId="1">'DEFFERED 20% SPOT'!$G$14</definedName>
    <definedName name="OtherRSDiscount" localSheetId="0">'SPOT CASH'!$G$14</definedName>
    <definedName name="OtherRSDiscount">'BANK FIN'!$G$16</definedName>
    <definedName name="Payee" localSheetId="3">'BANK FIN STRETCH'!$A$118</definedName>
    <definedName name="Payee" localSheetId="1">'DEFFERED 20% SPOT'!$A$115</definedName>
    <definedName name="Payee" localSheetId="0">'SPOT CASH'!$A$48</definedName>
    <definedName name="Payee">'BANK FIN'!$A$126</definedName>
    <definedName name="PercentageDiscount" localSheetId="3">'BANK FIN STRETCH'!$A$14</definedName>
    <definedName name="PercentageDiscount" localSheetId="1">'DEFFERED 20% SPOT'!$A$12</definedName>
    <definedName name="PercentageDiscount" localSheetId="0">'SPOT CASH'!$A$12</definedName>
    <definedName name="PercentageDiscount">'BANK FIN'!$A$14</definedName>
    <definedName name="_xlnm.Print_Area" localSheetId="1">'DEFFERED 20% SPOT'!$A$1:$G$116</definedName>
    <definedName name="ProjectDateCompletion" localSheetId="0">'SPOT CASH'!$G$5</definedName>
    <definedName name="ProjectDateCompletion">#REF!</definedName>
    <definedName name="ProjectName" localSheetId="3">'BANK FIN STRETCH'!$A$5</definedName>
    <definedName name="ProjectName" localSheetId="1">'DEFFERED 20% SPOT'!$A$3</definedName>
    <definedName name="ProjectName" localSheetId="0">'SPOT CASH'!$A$3</definedName>
    <definedName name="ProjectName">'BANK FIN'!$A$5</definedName>
    <definedName name="ReservationDate" localSheetId="3">'BANK FIN STRETCH'!$F$38</definedName>
    <definedName name="ReservationDate" localSheetId="1">'DEFFERED 20% SPOT'!$F$31</definedName>
    <definedName name="ReservationDate" localSheetId="0">'SPOT CASH'!$E$31</definedName>
    <definedName name="ReservationDate">'BANK FIN'!$F$38</definedName>
    <definedName name="ReservationDiscount" localSheetId="3">'BANK FIN STRETCH'!$G$15</definedName>
    <definedName name="ReservationDiscount" localSheetId="1">'DEFFERED 20% SPOT'!$G$13</definedName>
    <definedName name="ReservationDiscount" localSheetId="0">'SPOT CASH'!$G$13</definedName>
    <definedName name="ReservationDiscount">'BANK FIN'!$G$15</definedName>
    <definedName name="ReservationFee" localSheetId="3">'BANK FIN STRETCH'!$G$38</definedName>
    <definedName name="ReservationFee" localSheetId="1">'DEFFERED 20% SPOT'!$G$31</definedName>
    <definedName name="ReservationFee" localSheetId="0">'SPOT CASH'!$G$31</definedName>
    <definedName name="ReservationFee">'BANK FIN'!$G$38</definedName>
    <definedName name="SellingPrice" localSheetId="3">'BANK FIN STRETCH'!$G$12</definedName>
    <definedName name="SellingPrice" localSheetId="1">'DEFFERED 20% SPOT'!$G$10</definedName>
    <definedName name="SellingPrice" localSheetId="0">'SPOT CASH'!$G$10</definedName>
    <definedName name="SellingPrice">'BANK FIN'!$G$12</definedName>
    <definedName name="ServiceFee" localSheetId="3">'BANK FIN STRETCH'!$G$29</definedName>
    <definedName name="ServiceFee" localSheetId="1">'DEFFERED 20% SPOT'!$G$27</definedName>
    <definedName name="ServiceFee" localSheetId="0">'SPOT CASH'!$G$27</definedName>
    <definedName name="ServiceFee">'BANK FIN'!$G$29</definedName>
    <definedName name="SpotDownpayment" localSheetId="3">'BANK FIN STRETCH'!$A$40</definedName>
    <definedName name="SpotDownpayment" localSheetId="1">'DEFFERED 20% SPOT'!$A$35</definedName>
    <definedName name="SpotDownpayment" localSheetId="0">'SPOT CASH'!$A$33</definedName>
    <definedName name="SpotDownpayment">'BANK FIN'!$A$41</definedName>
    <definedName name="StandardDiscount" localSheetId="3">'BANK FIN STRETCH'!$G$14</definedName>
    <definedName name="StandardDiscount" localSheetId="1">'DEFFERED 20% SPOT'!$G$12</definedName>
    <definedName name="StandardDiscount" localSheetId="0">'SPOT CASH'!$G$12</definedName>
    <definedName name="StandardDiscount">'BANK FIN'!$G$14</definedName>
    <definedName name="TotalOtherCharges" localSheetId="3">'BANK FIN STRETCH'!$G$28</definedName>
    <definedName name="TotalOtherCharges" localSheetId="1">'DEFFERED 20% SPOT'!$G$26</definedName>
    <definedName name="TotalOtherCharges" localSheetId="0">'SPOT CASH'!$G$26</definedName>
    <definedName name="TotalOtherCharges">'BANK FIN'!$G$28</definedName>
    <definedName name="Tower" localSheetId="3">'BANK FIN STRETCH'!$A$9</definedName>
    <definedName name="Tower" localSheetId="1">'DEFFERED 20% SPOT'!$A$7</definedName>
    <definedName name="Tower" localSheetId="0">'SPOT CASH'!$A$7</definedName>
    <definedName name="Tower">'BANK FIN'!$A$9</definedName>
    <definedName name="Unit" localSheetId="3">'BANK FIN STRETCH'!$B$9</definedName>
    <definedName name="Unit" localSheetId="1">'DEFFERED 20% SPOT'!$B$7</definedName>
    <definedName name="Unit" localSheetId="0">'SPOT CASH'!$B$7</definedName>
    <definedName name="Unit">'BANK FIN'!$B$9</definedName>
  </definedNames>
  <calcPr fullCalcOnLoad="1"/>
</workbook>
</file>

<file path=xl/sharedStrings.xml><?xml version="1.0" encoding="utf-8"?>
<sst xmlns="http://schemas.openxmlformats.org/spreadsheetml/2006/main" count="422" uniqueCount="129">
  <si>
    <t>BANK FIN PAYTERM APPLICABLE FOR FILIPINO CLIENTS ONLY</t>
  </si>
  <si>
    <t>AVIDA LAND CORP.</t>
  </si>
  <si>
    <t>CUSTOMER SERVICE UNIT</t>
  </si>
  <si>
    <t>Tower</t>
  </si>
  <si>
    <t>Unit</t>
  </si>
  <si>
    <t>Floor</t>
  </si>
  <si>
    <t>Floor Area</t>
  </si>
  <si>
    <t>Model</t>
  </si>
  <si>
    <t>SELLING PRICE</t>
  </si>
  <si>
    <t>P</t>
  </si>
  <si>
    <t>Less:</t>
  </si>
  <si>
    <t>VAT(if applicable)</t>
  </si>
  <si>
    <t>Reservation Discount</t>
  </si>
  <si>
    <t>Other RS Discount</t>
  </si>
  <si>
    <t>Commited Sales Discount</t>
  </si>
  <si>
    <t>Booking Sales Discount</t>
  </si>
  <si>
    <t>20days docs submission from RS date</t>
  </si>
  <si>
    <t>Other BS Discount</t>
  </si>
  <si>
    <t>Employee Discount</t>
  </si>
  <si>
    <t>Bulk Discount</t>
  </si>
  <si>
    <t>Other Discounts</t>
  </si>
  <si>
    <t>Local Buyer Discount</t>
  </si>
  <si>
    <t>SELLING PRICE AFTER DISCOUNTS</t>
  </si>
  <si>
    <t>Add:</t>
  </si>
  <si>
    <t>Other Charges</t>
  </si>
  <si>
    <t>Service Fee</t>
  </si>
  <si>
    <t>AC Service Fee</t>
  </si>
  <si>
    <t>TOTAL RECEIVABLE</t>
  </si>
  <si>
    <t>DOWNPAYMENT</t>
  </si>
  <si>
    <t>Total Other Charges &amp; Fees</t>
  </si>
  <si>
    <t>TOTAL REQUIRED DOWNPAYMENT</t>
  </si>
  <si>
    <t>Reservation Fee</t>
  </si>
  <si>
    <t>SCHEDULE OF DOWNPAYMENT AND OTHERS CHARGES</t>
  </si>
  <si>
    <t>Total Spot DP and Other Charges payable on or before:</t>
  </si>
  <si>
    <t>Months Schedule</t>
  </si>
  <si>
    <t>Due Date</t>
  </si>
  <si>
    <t>Monthly Payment</t>
  </si>
  <si>
    <t>Total Monthly Payment</t>
  </si>
  <si>
    <t>1st Downpayment due on</t>
  </si>
  <si>
    <t>2nd Downpayment due on</t>
  </si>
  <si>
    <t>3rd Downpayment due on</t>
  </si>
  <si>
    <t>4th Downpayment due on</t>
  </si>
  <si>
    <t>5th Downpayment due on</t>
  </si>
  <si>
    <t>6th Downpayment due on</t>
  </si>
  <si>
    <t>7th Downpayment due on</t>
  </si>
  <si>
    <t>8th Downpayment due on</t>
  </si>
  <si>
    <t>9th Downpayment due on</t>
  </si>
  <si>
    <t>10th Downpayment due on</t>
  </si>
  <si>
    <t>11th Downpayment due on</t>
  </si>
  <si>
    <t>12th Downpayment due on</t>
  </si>
  <si>
    <t>13th Downpayment due on</t>
  </si>
  <si>
    <t>14th Downpayment due on</t>
  </si>
  <si>
    <t>15th Downpayment due on</t>
  </si>
  <si>
    <t>16th Downpayment due on</t>
  </si>
  <si>
    <t>17th Downpayment due on</t>
  </si>
  <si>
    <t>18th Downpayment due on</t>
  </si>
  <si>
    <t>19th Downpayment due on</t>
  </si>
  <si>
    <t>20th Downpayment due on</t>
  </si>
  <si>
    <t>21st Downpayment due on</t>
  </si>
  <si>
    <t>22nd Downpayment due on</t>
  </si>
  <si>
    <t>23rd Downpayment due on</t>
  </si>
  <si>
    <t>24th Downpayment due on</t>
  </si>
  <si>
    <t>25th Downpayment due on</t>
  </si>
  <si>
    <t>26th Downpayment due on</t>
  </si>
  <si>
    <t>27th Downpayment due on</t>
  </si>
  <si>
    <t>28th Downpayment due on</t>
  </si>
  <si>
    <t>29th Downpayment due on</t>
  </si>
  <si>
    <t>30th Downpayment due on</t>
  </si>
  <si>
    <t>31st Downpayment due on</t>
  </si>
  <si>
    <t>32nd Downpayment due on</t>
  </si>
  <si>
    <t>33rd Downpayment due on</t>
  </si>
  <si>
    <t>34th Downpayment due on</t>
  </si>
  <si>
    <t>35th Downpayment due on</t>
  </si>
  <si>
    <t>36th Downpayment due on</t>
  </si>
  <si>
    <t>PAYMENT SCHEDULE: BALANCE</t>
  </si>
  <si>
    <t>Bank Guarantee must be submitted on or before</t>
  </si>
  <si>
    <t>DUE AND PAYABLE ON</t>
  </si>
  <si>
    <t>(Loanable from a Financing Institution)</t>
  </si>
  <si>
    <t>NOTE:</t>
  </si>
  <si>
    <t xml:space="preserve">      Purchaser as mandated in the CTS &amp; DAS.</t>
  </si>
  <si>
    <t xml:space="preserve">2.   Discounts are conditioned upon the Buyer’s  timely compliance with all his obligations, including </t>
  </si>
  <si>
    <t xml:space="preserve">      payments and transmittal of required documents.</t>
  </si>
  <si>
    <t xml:space="preserve">3.   Delay in any payment is an event of default entitling the Seller to exercise remedial options, which include collection of </t>
  </si>
  <si>
    <t xml:space="preserve">      penalty  at the rate of two percent (2%) of the unpaid amount for every month (or a fraction thereof) of delay as </t>
  </si>
  <si>
    <t xml:space="preserve">      specified under Sec 4(ii) of the RA and Sec 4.2 of the CTS</t>
  </si>
  <si>
    <t>4.   For Bank Financing Program, Buyer is required to issue a guarantee check covering the lump-sum payment.  Upon</t>
  </si>
  <si>
    <t xml:space="preserve">      Seller’s receipt of the bank guarantee, the relevant guarantee check(s) covered thereby shall be returned to the Buyer.</t>
  </si>
  <si>
    <t>Discount 2</t>
  </si>
  <si>
    <t>SPOT CASH</t>
  </si>
  <si>
    <t>SAMPLE COMPUTATION ONLY</t>
  </si>
  <si>
    <t>Discount 1</t>
  </si>
  <si>
    <t>NET SELLING PRICE</t>
  </si>
  <si>
    <t>BALANCE DUE AND PAYABLE:</t>
  </si>
  <si>
    <t>Spot Downpayment of 95% for principal and OC due and payable on:</t>
  </si>
  <si>
    <t>Balance of 5% for principal and OC due and payable on:</t>
  </si>
  <si>
    <t>DEFERRED CASH</t>
  </si>
  <si>
    <t>SCHEDULE OF BALANCE AND DOWNPAYMENT</t>
  </si>
  <si>
    <t>Total Spot DP payable on or before:</t>
  </si>
  <si>
    <t>BALANCE</t>
  </si>
  <si>
    <t>37th Downpayment due on</t>
  </si>
  <si>
    <t>38th Downpayment due on</t>
  </si>
  <si>
    <t>39th Downpayment due on</t>
  </si>
  <si>
    <t>40th Downpayment due on</t>
  </si>
  <si>
    <t>41st Downpayment due on</t>
  </si>
  <si>
    <t>42nd Downpayment due on</t>
  </si>
  <si>
    <t>43rd Downpayment due on</t>
  </si>
  <si>
    <t>44th Downpayment due on</t>
  </si>
  <si>
    <t>45th Downpayment due on</t>
  </si>
  <si>
    <t>46th Downpayment due on</t>
  </si>
  <si>
    <t>47th Downpayment due on</t>
  </si>
  <si>
    <t>48th Downpayment due on</t>
  </si>
  <si>
    <t>49th Downpayment due on</t>
  </si>
  <si>
    <t>50th Downpayment due on</t>
  </si>
  <si>
    <t>51st Downpayment due on</t>
  </si>
  <si>
    <t>52nd Downpayment due on</t>
  </si>
  <si>
    <t>53rd Downpayment due on</t>
  </si>
  <si>
    <t>54th Downpayment due on</t>
  </si>
  <si>
    <t>55th Downpayment due on</t>
  </si>
  <si>
    <t>56th Downpayment due on</t>
  </si>
  <si>
    <t>57th Downpayment due on</t>
  </si>
  <si>
    <t>58th Downpayment due on</t>
  </si>
  <si>
    <t>59th Downpayment due on</t>
  </si>
  <si>
    <t>60th Downpayment due on</t>
  </si>
  <si>
    <t>AVIDA TOWERS ARDANE</t>
  </si>
  <si>
    <t>1.   In the event of an increase in Other Charges, AVIDA LAND CORP. has the right to charge the</t>
  </si>
  <si>
    <t>5.   All payments covering the due dates and amounts above should be made payable to AVIDA LAND CORP.</t>
  </si>
  <si>
    <t>4% Discount on Net Selling price</t>
  </si>
  <si>
    <t>STUDIO</t>
  </si>
  <si>
    <t>SPECIAL PROMO PAYTERM ONLY UNTIL FEB. 29, 2020</t>
  </si>
</sst>
</file>

<file path=xl/styles.xml><?xml version="1.0" encoding="utf-8"?>
<styleSheet xmlns="http://schemas.openxmlformats.org/spreadsheetml/2006/main">
  <numFmts count="25">
    <numFmt numFmtId="5" formatCode="&quot;Php&quot;#,##0_);\(&quot;Php&quot;#,##0\)"/>
    <numFmt numFmtId="6" formatCode="&quot;Php&quot;#,##0_);[Red]\(&quot;Php&quot;#,##0\)"/>
    <numFmt numFmtId="7" formatCode="&quot;Php&quot;#,##0.00_);\(&quot;Php&quot;#,##0.00\)"/>
    <numFmt numFmtId="8" formatCode="&quot;Php&quot;#,##0.00_);[Red]\(&quot;Php&quot;#,##0.00\)"/>
    <numFmt numFmtId="42" formatCode="_(&quot;Php&quot;* #,##0_);_(&quot;Php&quot;* \(#,##0\);_(&quot;Php&quot;* &quot;-&quot;_);_(@_)"/>
    <numFmt numFmtId="41" formatCode="_(* #,##0_);_(* \(#,##0\);_(* &quot;-&quot;_);_(@_)"/>
    <numFmt numFmtId="44" formatCode="_(&quot;Php&quot;* #,##0.00_);_(&quot;Php&quot;* \(#,##0.00\);_(&quot;Php&quot;* &quot;-&quot;??_);_(@_)"/>
    <numFmt numFmtId="43" formatCode="_(* #,##0.00_);_(* \(#,##0.00\);_(* &quot;-&quot;??_);_(@_)"/>
    <numFmt numFmtId="164" formatCode="&quot;₱&quot;#,##0;\-&quot;₱&quot;#,##0"/>
    <numFmt numFmtId="165" formatCode="&quot;₱&quot;#,##0;[Red]\-&quot;₱&quot;#,##0"/>
    <numFmt numFmtId="166" formatCode="&quot;₱&quot;#,##0.00;\-&quot;₱&quot;#,##0.00"/>
    <numFmt numFmtId="167" formatCode="&quot;₱&quot;#,##0.00;[Red]\-&quot;₱&quot;#,##0.00"/>
    <numFmt numFmtId="168" formatCode="_-&quot;₱&quot;* #,##0_-;\-&quot;₱&quot;* #,##0_-;_-&quot;₱&quot;* &quot;-&quot;_-;_-@_-"/>
    <numFmt numFmtId="169" formatCode="_-* #,##0_-;\-* #,##0_-;_-* &quot;-&quot;_-;_-@_-"/>
    <numFmt numFmtId="170" formatCode="_-&quot;₱&quot;* #,##0.00_-;\-&quot;₱&quot;* #,##0.00_-;_-&quot;₱&quot;* &quot;-&quot;??_-;_-@_-"/>
    <numFmt numFmtId="171" formatCode="_-* #,##0.00_-;\-* #,##0.00_-;_-* &quot;-&quot;??_-;_-@_-"/>
    <numFmt numFmtId="172" formatCode=";;;"/>
    <numFmt numFmtId="173" formatCode="[$-3409]dd\-mmm\-yy;@"/>
    <numFmt numFmtId="174" formatCode="_(* #,##0.000000000_);_(* \(#,##0.000000000\);_(* &quot;-&quot;??_);_(@_)"/>
    <numFmt numFmtId="175" formatCode="_(\P\ #,##0.00_);_(\P\ \(#,##0.00\);_(\P\ &quot;-&quot;??_);_(@_)"/>
    <numFmt numFmtId="176" formatCode="_(\P* #,##0_);_(\P* \(#,##0\);_(\P* &quot;-&quot;_);_(@_)"/>
    <numFmt numFmtId="177" formatCode="[$-409]dd\-mmm\-yy;@"/>
    <numFmt numFmtId="178" formatCode="_(\P* #,##0.00_);_(\P* \(#,##0.00\);_(\P* &quot;-&quot;??_);_(@_)"/>
    <numFmt numFmtId="179" formatCode="_(* #,##0.0000_);_(* \(#,##0.0000\);_(* &quot;-&quot;??_);_(@_)"/>
    <numFmt numFmtId="180" formatCode="_(\P\ * #,##0.00_);_(\P\ * \(#,##0.00\);_(\P\ * &quot;-&quot;??_);_(@_)"/>
  </numFmts>
  <fonts count="48">
    <font>
      <sz val="10"/>
      <color indexed="8"/>
      <name val="Courier New"/>
      <family val="0"/>
    </font>
    <font>
      <sz val="11"/>
      <color indexed="8"/>
      <name val="Calibri"/>
      <family val="2"/>
    </font>
    <font>
      <sz val="10"/>
      <color indexed="8"/>
      <name val="Verdana"/>
      <family val="2"/>
    </font>
    <font>
      <b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20"/>
      <color indexed="8"/>
      <name val="Verdana"/>
      <family val="2"/>
    </font>
    <font>
      <sz val="10"/>
      <color indexed="9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sz val="8"/>
      <color indexed="8"/>
      <name val="Verdana"/>
      <family val="2"/>
    </font>
    <font>
      <sz val="8"/>
      <name val="Courier New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/>
      <top style="double">
        <color indexed="8"/>
      </top>
      <bottom/>
    </border>
    <border>
      <left/>
      <right style="double">
        <color indexed="8"/>
      </right>
      <top style="double">
        <color indexed="8"/>
      </top>
      <bottom/>
    </border>
    <border>
      <left style="double">
        <color indexed="8"/>
      </left>
      <right/>
      <top/>
      <bottom/>
    </border>
    <border>
      <left/>
      <right style="double">
        <color indexed="8"/>
      </right>
      <top/>
      <bottom/>
    </border>
    <border>
      <left style="double">
        <color indexed="8"/>
      </left>
      <right/>
      <top/>
      <bottom style="double">
        <color indexed="8"/>
      </bottom>
    </border>
    <border>
      <left/>
      <right/>
      <top/>
      <bottom style="double">
        <color indexed="8"/>
      </bottom>
    </border>
    <border>
      <left/>
      <right style="double">
        <color indexed="8"/>
      </right>
      <top/>
      <bottom style="double">
        <color indexed="8"/>
      </bottom>
    </border>
    <border>
      <left/>
      <right/>
      <top style="double">
        <color indexed="8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2" fillId="33" borderId="0" xfId="0" applyNumberFormat="1" applyFont="1" applyFill="1" applyBorder="1" applyAlignment="1" applyProtection="1">
      <alignment vertical="center"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2" fillId="0" borderId="12" xfId="0" applyNumberFormat="1" applyFont="1" applyFill="1" applyBorder="1" applyAlignment="1" applyProtection="1">
      <alignment/>
      <protection/>
    </xf>
    <xf numFmtId="0" fontId="2" fillId="0" borderId="13" xfId="0" applyNumberFormat="1" applyFont="1" applyFill="1" applyBorder="1" applyAlignment="1" applyProtection="1">
      <alignment/>
      <protection/>
    </xf>
    <xf numFmtId="172" fontId="2" fillId="0" borderId="14" xfId="0" applyNumberFormat="1" applyFont="1" applyFill="1" applyBorder="1" applyAlignment="1" applyProtection="1">
      <alignment/>
      <protection/>
    </xf>
    <xf numFmtId="0" fontId="2" fillId="0" borderId="15" xfId="0" applyNumberFormat="1" applyFont="1" applyFill="1" applyBorder="1" applyAlignment="1" applyProtection="1">
      <alignment/>
      <protection/>
    </xf>
    <xf numFmtId="0" fontId="4" fillId="0" borderId="15" xfId="0" applyNumberFormat="1" applyFont="1" applyFill="1" applyBorder="1" applyAlignment="1" applyProtection="1">
      <alignment horizontal="center"/>
      <protection/>
    </xf>
    <xf numFmtId="0" fontId="2" fillId="0" borderId="16" xfId="0" applyNumberFormat="1" applyFont="1" applyFill="1" applyBorder="1" applyAlignment="1" applyProtection="1">
      <alignment/>
      <protection/>
    </xf>
    <xf numFmtId="2" fontId="6" fillId="0" borderId="0" xfId="0" applyNumberFormat="1" applyFont="1" applyFill="1" applyBorder="1" applyAlignment="1" applyProtection="1">
      <alignment/>
      <protection/>
    </xf>
    <xf numFmtId="0" fontId="2" fillId="0" borderId="0" xfId="55" applyNumberFormat="1" applyFont="1" applyFill="1" applyBorder="1" applyAlignment="1" applyProtection="1">
      <alignment horizontal="center"/>
      <protection/>
    </xf>
    <xf numFmtId="0" fontId="2" fillId="0" borderId="0" xfId="55" applyNumberFormat="1" applyFont="1" applyFill="1" applyBorder="1" applyAlignment="1" applyProtection="1">
      <alignment/>
      <protection/>
    </xf>
    <xf numFmtId="0" fontId="7" fillId="34" borderId="0" xfId="55" applyNumberFormat="1" applyFont="1" applyFill="1" applyBorder="1" applyAlignment="1" applyProtection="1">
      <alignment/>
      <protection/>
    </xf>
    <xf numFmtId="0" fontId="2" fillId="34" borderId="0" xfId="55" applyNumberFormat="1" applyFont="1" applyFill="1" applyBorder="1" applyAlignment="1" applyProtection="1">
      <alignment horizontal="left"/>
      <protection/>
    </xf>
    <xf numFmtId="0" fontId="2" fillId="34" borderId="0" xfId="55" applyNumberFormat="1" applyFont="1" applyFill="1" applyBorder="1" applyAlignment="1" applyProtection="1">
      <alignment/>
      <protection/>
    </xf>
    <xf numFmtId="0" fontId="7" fillId="34" borderId="0" xfId="55" applyNumberFormat="1" applyFont="1" applyFill="1" applyBorder="1" applyAlignment="1" applyProtection="1">
      <alignment horizontal="right"/>
      <protection/>
    </xf>
    <xf numFmtId="43" fontId="7" fillId="34" borderId="0" xfId="55" applyNumberFormat="1" applyFont="1" applyFill="1" applyBorder="1" applyAlignment="1" applyProtection="1">
      <alignment horizontal="right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43" fontId="2" fillId="0" borderId="0" xfId="0" applyNumberFormat="1" applyFont="1" applyFill="1" applyBorder="1" applyAlignment="1" applyProtection="1">
      <alignment horizontal="right"/>
      <protection/>
    </xf>
    <xf numFmtId="172" fontId="2" fillId="0" borderId="0" xfId="0" applyNumberFormat="1" applyFont="1" applyFill="1" applyBorder="1" applyAlignment="1" applyProtection="1">
      <alignment/>
      <protection/>
    </xf>
    <xf numFmtId="43" fontId="2" fillId="0" borderId="0" xfId="0" applyNumberFormat="1" applyFont="1" applyFill="1" applyBorder="1" applyAlignment="1" applyProtection="1">
      <alignment/>
      <protection/>
    </xf>
    <xf numFmtId="0" fontId="47" fillId="0" borderId="0" xfId="55" applyNumberFormat="1" applyFont="1" applyFill="1" applyBorder="1" applyAlignment="1" applyProtection="1">
      <alignment/>
      <protection/>
    </xf>
    <xf numFmtId="43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172" fontId="7" fillId="0" borderId="0" xfId="0" applyNumberFormat="1" applyFont="1" applyFill="1" applyBorder="1" applyAlignment="1" applyProtection="1">
      <alignment/>
      <protection/>
    </xf>
    <xf numFmtId="173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right"/>
      <protection/>
    </xf>
    <xf numFmtId="174" fontId="2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175" fontId="7" fillId="0" borderId="17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176" fontId="7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173" fontId="8" fillId="0" borderId="0" xfId="0" applyNumberFormat="1" applyFont="1" applyFill="1" applyBorder="1" applyAlignment="1" applyProtection="1">
      <alignment horizontal="center" vertical="center" wrapText="1"/>
      <protection/>
    </xf>
    <xf numFmtId="176" fontId="8" fillId="0" borderId="0" xfId="0" applyNumberFormat="1" applyFont="1" applyFill="1" applyBorder="1" applyAlignment="1" applyProtection="1">
      <alignment horizontal="center" vertical="center" wrapText="1"/>
      <protection/>
    </xf>
    <xf numFmtId="173" fontId="2" fillId="0" borderId="0" xfId="0" applyNumberFormat="1" applyFont="1" applyFill="1" applyBorder="1" applyAlignment="1" applyProtection="1">
      <alignment horizontal="center" vertical="center"/>
      <protection/>
    </xf>
    <xf numFmtId="43" fontId="2" fillId="0" borderId="0" xfId="0" applyNumberFormat="1" applyFont="1" applyFill="1" applyBorder="1" applyAlignment="1" applyProtection="1">
      <alignment horizontal="center"/>
      <protection/>
    </xf>
    <xf numFmtId="177" fontId="2" fillId="0" borderId="0" xfId="0" applyNumberFormat="1" applyFont="1" applyFill="1" applyBorder="1" applyAlignment="1" applyProtection="1">
      <alignment horizontal="center"/>
      <protection/>
    </xf>
    <xf numFmtId="178" fontId="7" fillId="0" borderId="0" xfId="0" applyNumberFormat="1" applyFont="1" applyFill="1" applyBorder="1" applyAlignment="1" applyProtection="1">
      <alignment horizontal="right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2" fillId="33" borderId="0" xfId="55" applyNumberFormat="1" applyFont="1" applyFill="1" applyBorder="1" applyAlignment="1" applyProtection="1">
      <alignment/>
      <protection/>
    </xf>
    <xf numFmtId="0" fontId="2" fillId="0" borderId="10" xfId="55" applyNumberFormat="1" applyFont="1" applyFill="1" applyBorder="1" applyAlignment="1" applyProtection="1">
      <alignment/>
      <protection/>
    </xf>
    <xf numFmtId="0" fontId="2" fillId="0" borderId="11" xfId="55" applyNumberFormat="1" applyFont="1" applyFill="1" applyBorder="1" applyAlignment="1" applyProtection="1">
      <alignment/>
      <protection/>
    </xf>
    <xf numFmtId="0" fontId="2" fillId="0" borderId="12" xfId="55" applyNumberFormat="1" applyFont="1" applyFill="1" applyBorder="1" applyAlignment="1" applyProtection="1">
      <alignment/>
      <protection/>
    </xf>
    <xf numFmtId="0" fontId="2" fillId="0" borderId="13" xfId="55" applyNumberFormat="1" applyFont="1" applyFill="1" applyBorder="1" applyAlignment="1" applyProtection="1">
      <alignment/>
      <protection/>
    </xf>
    <xf numFmtId="172" fontId="2" fillId="0" borderId="14" xfId="55" applyNumberFormat="1" applyFont="1" applyFill="1" applyBorder="1" applyAlignment="1" applyProtection="1">
      <alignment/>
      <protection/>
    </xf>
    <xf numFmtId="0" fontId="2" fillId="0" borderId="15" xfId="55" applyNumberFormat="1" applyFont="1" applyFill="1" applyBorder="1" applyAlignment="1" applyProtection="1">
      <alignment/>
      <protection/>
    </xf>
    <xf numFmtId="0" fontId="7" fillId="0" borderId="15" xfId="55" applyNumberFormat="1" applyFont="1" applyFill="1" applyBorder="1" applyAlignment="1" applyProtection="1">
      <alignment horizontal="center"/>
      <protection/>
    </xf>
    <xf numFmtId="0" fontId="2" fillId="0" borderId="16" xfId="55" applyNumberFormat="1" applyFont="1" applyFill="1" applyBorder="1" applyAlignment="1" applyProtection="1">
      <alignment/>
      <protection/>
    </xf>
    <xf numFmtId="14" fontId="6" fillId="0" borderId="0" xfId="55" applyNumberFormat="1" applyFont="1" applyFill="1" applyBorder="1" applyAlignment="1" applyProtection="1">
      <alignment/>
      <protection/>
    </xf>
    <xf numFmtId="0" fontId="7" fillId="0" borderId="0" xfId="55" applyNumberFormat="1" applyFont="1" applyFill="1" applyBorder="1" applyAlignment="1" applyProtection="1">
      <alignment horizontal="center"/>
      <protection/>
    </xf>
    <xf numFmtId="0" fontId="2" fillId="0" borderId="0" xfId="55" applyNumberFormat="1" applyFont="1" applyFill="1" applyBorder="1" applyAlignment="1" applyProtection="1">
      <alignment horizontal="left"/>
      <protection/>
    </xf>
    <xf numFmtId="0" fontId="7" fillId="0" borderId="0" xfId="55" applyNumberFormat="1" applyFont="1" applyFill="1" applyBorder="1" applyAlignment="1" applyProtection="1">
      <alignment horizontal="right"/>
      <protection/>
    </xf>
    <xf numFmtId="43" fontId="2" fillId="0" borderId="0" xfId="55" applyNumberFormat="1" applyFont="1" applyFill="1" applyBorder="1" applyAlignment="1" applyProtection="1">
      <alignment horizontal="right"/>
      <protection/>
    </xf>
    <xf numFmtId="172" fontId="2" fillId="0" borderId="0" xfId="55" applyNumberFormat="1" applyFont="1" applyFill="1" applyBorder="1" applyAlignment="1" applyProtection="1">
      <alignment/>
      <protection/>
    </xf>
    <xf numFmtId="43" fontId="2" fillId="0" borderId="0" xfId="55" applyNumberFormat="1" applyFont="1" applyFill="1" applyBorder="1" applyAlignment="1" applyProtection="1">
      <alignment/>
      <protection/>
    </xf>
    <xf numFmtId="43" fontId="7" fillId="0" borderId="0" xfId="55" applyNumberFormat="1" applyFont="1" applyFill="1" applyBorder="1" applyAlignment="1" applyProtection="1">
      <alignment/>
      <protection/>
    </xf>
    <xf numFmtId="0" fontId="7" fillId="0" borderId="0" xfId="55" applyNumberFormat="1" applyFont="1" applyFill="1" applyBorder="1" applyAlignment="1" applyProtection="1">
      <alignment/>
      <protection/>
    </xf>
    <xf numFmtId="172" fontId="7" fillId="0" borderId="0" xfId="55" applyNumberFormat="1" applyFont="1" applyFill="1" applyBorder="1" applyAlignment="1" applyProtection="1">
      <alignment/>
      <protection/>
    </xf>
    <xf numFmtId="179" fontId="2" fillId="0" borderId="0" xfId="55" applyNumberFormat="1" applyFont="1" applyFill="1" applyBorder="1" applyAlignment="1" applyProtection="1">
      <alignment/>
      <protection/>
    </xf>
    <xf numFmtId="173" fontId="2" fillId="0" borderId="0" xfId="55" applyNumberFormat="1" applyFont="1" applyFill="1" applyBorder="1" applyAlignment="1" applyProtection="1">
      <alignment horizontal="center"/>
      <protection/>
    </xf>
    <xf numFmtId="0" fontId="7" fillId="0" borderId="0" xfId="55" applyNumberFormat="1" applyFont="1" applyFill="1" applyBorder="1" applyAlignment="1" applyProtection="1">
      <alignment horizontal="center" vertical="center" wrapText="1"/>
      <protection/>
    </xf>
    <xf numFmtId="0" fontId="8" fillId="0" borderId="0" xfId="55" applyNumberFormat="1" applyFont="1" applyFill="1" applyBorder="1" applyAlignment="1" applyProtection="1">
      <alignment horizontal="center" vertical="center"/>
      <protection/>
    </xf>
    <xf numFmtId="0" fontId="8" fillId="0" borderId="0" xfId="55" applyNumberFormat="1" applyFont="1" applyFill="1" applyBorder="1" applyAlignment="1" applyProtection="1">
      <alignment horizontal="center" vertical="center" wrapText="1"/>
      <protection/>
    </xf>
    <xf numFmtId="173" fontId="8" fillId="0" borderId="0" xfId="55" applyNumberFormat="1" applyFont="1" applyFill="1" applyBorder="1" applyAlignment="1" applyProtection="1">
      <alignment horizontal="center" vertical="center" wrapText="1"/>
      <protection/>
    </xf>
    <xf numFmtId="176" fontId="8" fillId="0" borderId="0" xfId="55" applyNumberFormat="1" applyFont="1" applyFill="1" applyBorder="1" applyAlignment="1" applyProtection="1">
      <alignment horizontal="center" vertical="center" wrapText="1"/>
      <protection/>
    </xf>
    <xf numFmtId="173" fontId="2" fillId="0" borderId="0" xfId="55" applyNumberFormat="1" applyFont="1" applyFill="1" applyBorder="1" applyAlignment="1" applyProtection="1">
      <alignment horizontal="center" vertical="center"/>
      <protection/>
    </xf>
    <xf numFmtId="43" fontId="2" fillId="0" borderId="0" xfId="55" applyNumberFormat="1" applyFont="1" applyFill="1" applyBorder="1" applyAlignment="1" applyProtection="1">
      <alignment horizontal="center"/>
      <protection/>
    </xf>
    <xf numFmtId="0" fontId="9" fillId="0" borderId="0" xfId="55" applyNumberFormat="1" applyFont="1" applyFill="1" applyBorder="1" applyAlignment="1" applyProtection="1">
      <alignment/>
      <protection/>
    </xf>
    <xf numFmtId="0" fontId="2" fillId="0" borderId="0" xfId="55" applyNumberFormat="1" applyFont="1" applyFill="1" applyBorder="1" applyAlignment="1" applyProtection="1">
      <alignment horizontal="right"/>
      <protection/>
    </xf>
    <xf numFmtId="176" fontId="7" fillId="0" borderId="0" xfId="55" applyNumberFormat="1" applyFont="1" applyFill="1" applyBorder="1" applyAlignment="1" applyProtection="1">
      <alignment/>
      <protection/>
    </xf>
    <xf numFmtId="177" fontId="2" fillId="0" borderId="0" xfId="55" applyNumberFormat="1" applyFont="1" applyFill="1" applyBorder="1" applyAlignment="1" applyProtection="1">
      <alignment horizontal="center"/>
      <protection/>
    </xf>
    <xf numFmtId="180" fontId="7" fillId="0" borderId="0" xfId="55" applyNumberFormat="1" applyFont="1" applyFill="1" applyBorder="1" applyAlignment="1" applyProtection="1">
      <alignment horizontal="right"/>
      <protection/>
    </xf>
    <xf numFmtId="0" fontId="8" fillId="0" borderId="0" xfId="55" applyNumberFormat="1" applyFont="1" applyFill="1" applyBorder="1" applyAlignment="1" applyProtection="1">
      <alignment/>
      <protection/>
    </xf>
    <xf numFmtId="0" fontId="11" fillId="0" borderId="0" xfId="55" applyNumberFormat="1" applyFont="1" applyFill="1" applyBorder="1" applyAlignment="1" applyProtection="1">
      <alignment/>
      <protection/>
    </xf>
    <xf numFmtId="0" fontId="11" fillId="0" borderId="0" xfId="55" applyNumberFormat="1" applyFont="1" applyFill="1" applyBorder="1" applyAlignment="1" applyProtection="1">
      <alignment horizontal="left"/>
      <protection/>
    </xf>
    <xf numFmtId="0" fontId="2" fillId="0" borderId="14" xfId="55" applyNumberFormat="1" applyFont="1" applyFill="1" applyBorder="1" applyAlignment="1" applyProtection="1">
      <alignment/>
      <protection/>
    </xf>
    <xf numFmtId="172" fontId="2" fillId="34" borderId="0" xfId="55" applyNumberFormat="1" applyFont="1" applyFill="1" applyBorder="1" applyAlignment="1" applyProtection="1">
      <alignment/>
      <protection/>
    </xf>
    <xf numFmtId="43" fontId="7" fillId="34" borderId="17" xfId="55" applyNumberFormat="1" applyFont="1" applyFill="1" applyBorder="1" applyAlignment="1" applyProtection="1">
      <alignment/>
      <protection/>
    </xf>
    <xf numFmtId="0" fontId="7" fillId="34" borderId="0" xfId="55" applyNumberFormat="1" applyFont="1" applyFill="1" applyBorder="1" applyAlignment="1" applyProtection="1">
      <alignment/>
      <protection hidden="1"/>
    </xf>
    <xf numFmtId="173" fontId="2" fillId="34" borderId="0" xfId="55" applyNumberFormat="1" applyFont="1" applyFill="1" applyBorder="1" applyAlignment="1" applyProtection="1">
      <alignment horizontal="center"/>
      <protection/>
    </xf>
    <xf numFmtId="0" fontId="10" fillId="0" borderId="0" xfId="55" applyNumberFormat="1" applyFont="1" applyFill="1" applyBorder="1" applyAlignment="1" applyProtection="1">
      <alignment horizontal="right"/>
      <protection/>
    </xf>
    <xf numFmtId="180" fontId="7" fillId="0" borderId="0" xfId="55" applyNumberFormat="1" applyFont="1" applyFill="1" applyBorder="1" applyAlignment="1" applyProtection="1">
      <alignment/>
      <protection/>
    </xf>
    <xf numFmtId="0" fontId="2" fillId="35" borderId="0" xfId="55" applyNumberFormat="1" applyFont="1" applyFill="1" applyBorder="1" applyAlignment="1" applyProtection="1">
      <alignment/>
      <protection/>
    </xf>
    <xf numFmtId="173" fontId="2" fillId="35" borderId="0" xfId="55" applyNumberFormat="1" applyFont="1" applyFill="1" applyBorder="1" applyAlignment="1" applyProtection="1">
      <alignment horizontal="center"/>
      <protection/>
    </xf>
    <xf numFmtId="43" fontId="2" fillId="35" borderId="0" xfId="55" applyNumberFormat="1" applyFont="1" applyFill="1" applyBorder="1" applyAlignment="1" applyProtection="1">
      <alignment/>
      <protection/>
    </xf>
    <xf numFmtId="174" fontId="2" fillId="0" borderId="0" xfId="55" applyNumberFormat="1" applyFont="1" applyFill="1" applyBorder="1" applyAlignment="1" applyProtection="1">
      <alignment/>
      <protection/>
    </xf>
    <xf numFmtId="175" fontId="7" fillId="0" borderId="17" xfId="55" applyNumberFormat="1" applyFont="1" applyFill="1" applyBorder="1" applyAlignment="1" applyProtection="1">
      <alignment/>
      <protection/>
    </xf>
    <xf numFmtId="175" fontId="7" fillId="0" borderId="0" xfId="55" applyNumberFormat="1" applyFont="1" applyFill="1" applyBorder="1" applyAlignment="1" applyProtection="1">
      <alignment/>
      <protection/>
    </xf>
    <xf numFmtId="0" fontId="10" fillId="0" borderId="0" xfId="55" applyNumberFormat="1" applyFont="1" applyFill="1" applyBorder="1" applyAlignment="1" applyProtection="1">
      <alignment/>
      <protection/>
    </xf>
    <xf numFmtId="0" fontId="2" fillId="33" borderId="0" xfId="0" applyFont="1" applyFill="1" applyAlignment="1">
      <alignment vertical="center"/>
    </xf>
    <xf numFmtId="0" fontId="11" fillId="0" borderId="0" xfId="55" applyNumberFormat="1" applyFont="1" applyFill="1" applyBorder="1" applyAlignment="1" applyProtection="1">
      <alignment horizontal="left"/>
      <protection/>
    </xf>
    <xf numFmtId="0" fontId="8" fillId="0" borderId="0" xfId="55" applyNumberFormat="1" applyFont="1" applyFill="1" applyBorder="1" applyAlignment="1" applyProtection="1">
      <alignment horizontal="left"/>
      <protection/>
    </xf>
    <xf numFmtId="0" fontId="3" fillId="0" borderId="17" xfId="55" applyNumberFormat="1" applyFont="1" applyFill="1" applyBorder="1" applyAlignment="1" applyProtection="1">
      <alignment horizontal="center"/>
      <protection/>
    </xf>
    <xf numFmtId="0" fontId="4" fillId="0" borderId="0" xfId="55" applyNumberFormat="1" applyFont="1" applyFill="1" applyBorder="1" applyAlignment="1" applyProtection="1">
      <alignment horizontal="center"/>
      <protection/>
    </xf>
    <xf numFmtId="0" fontId="5" fillId="0" borderId="12" xfId="55" applyNumberFormat="1" applyFont="1" applyFill="1" applyBorder="1" applyAlignment="1" applyProtection="1">
      <alignment horizontal="center" vertical="center"/>
      <protection/>
    </xf>
    <xf numFmtId="0" fontId="5" fillId="0" borderId="0" xfId="55" applyNumberFormat="1" applyFont="1" applyFill="1" applyBorder="1" applyAlignment="1" applyProtection="1">
      <alignment horizontal="center" vertical="center"/>
      <protection/>
    </xf>
    <xf numFmtId="0" fontId="5" fillId="0" borderId="13" xfId="55" applyNumberFormat="1" applyFont="1" applyFill="1" applyBorder="1" applyAlignment="1" applyProtection="1">
      <alignment horizontal="center" vertical="center"/>
      <protection/>
    </xf>
    <xf numFmtId="0" fontId="7" fillId="0" borderId="0" xfId="55" applyNumberFormat="1" applyFont="1" applyFill="1" applyBorder="1" applyAlignment="1" applyProtection="1">
      <alignment horizontal="center"/>
      <protection/>
    </xf>
    <xf numFmtId="0" fontId="2" fillId="0" borderId="0" xfId="55" applyNumberFormat="1" applyFont="1" applyFill="1" applyBorder="1" applyAlignment="1" applyProtection="1">
      <alignment horizontal="center"/>
      <protection/>
    </xf>
    <xf numFmtId="0" fontId="2" fillId="0" borderId="0" xfId="55" applyNumberFormat="1" applyFont="1" applyFill="1" applyBorder="1" applyAlignment="1" applyProtection="1">
      <alignment horizontal="right" indent="2"/>
      <protection/>
    </xf>
    <xf numFmtId="0" fontId="8" fillId="0" borderId="0" xfId="55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right" indent="2"/>
      <protection/>
    </xf>
    <xf numFmtId="0" fontId="3" fillId="0" borderId="17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1">
    <dxf>
      <font>
        <b/>
        <i val="0"/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/>
        <i val="0"/>
        <strike val="0"/>
        <color indexed="10"/>
      </font>
      <fill>
        <patternFill patternType="none">
          <bgColor indexed="65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b/>
        <i val="0"/>
        <strike val="0"/>
        <color rgb="FFFF0000"/>
      </font>
      <fill>
        <patternFill patternType="none">
          <bgColor indexed="65"/>
        </patternFill>
      </fill>
      <border/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50"/>
  <sheetViews>
    <sheetView tabSelected="1" zoomScalePageLayoutView="0" workbookViewId="0" topLeftCell="A1">
      <selection activeCell="A6" sqref="A6:G10"/>
    </sheetView>
  </sheetViews>
  <sheetFormatPr defaultColWidth="12.375" defaultRowHeight="12.75" customHeight="1"/>
  <cols>
    <col min="1" max="6" width="12.375" style="14" customWidth="1"/>
    <col min="7" max="7" width="18.875" style="14" customWidth="1"/>
    <col min="8" max="9" width="15.00390625" style="14" customWidth="1"/>
    <col min="10" max="10" width="14.125" style="14" customWidth="1"/>
    <col min="11" max="16384" width="12.375" style="14" customWidth="1"/>
  </cols>
  <sheetData>
    <row r="1" spans="1:7" ht="14.25" customHeight="1" thickTop="1">
      <c r="A1" s="48" t="s">
        <v>88</v>
      </c>
      <c r="B1" s="100" t="s">
        <v>1</v>
      </c>
      <c r="C1" s="100"/>
      <c r="D1" s="100"/>
      <c r="E1" s="100"/>
      <c r="F1" s="100"/>
      <c r="G1" s="49"/>
    </row>
    <row r="2" spans="1:7" ht="14.25" customHeight="1">
      <c r="A2" s="50"/>
      <c r="B2" s="101" t="s">
        <v>2</v>
      </c>
      <c r="C2" s="101"/>
      <c r="D2" s="101"/>
      <c r="E2" s="101"/>
      <c r="F2" s="101"/>
      <c r="G2" s="51"/>
    </row>
    <row r="3" spans="1:7" ht="30" customHeight="1">
      <c r="A3" s="102" t="s">
        <v>123</v>
      </c>
      <c r="B3" s="103"/>
      <c r="C3" s="103"/>
      <c r="D3" s="103"/>
      <c r="E3" s="103"/>
      <c r="F3" s="103"/>
      <c r="G3" s="104"/>
    </row>
    <row r="4" spans="1:7" ht="13.5" customHeight="1" thickBot="1">
      <c r="A4" s="83"/>
      <c r="B4" s="53"/>
      <c r="C4" s="53"/>
      <c r="D4" s="54" t="s">
        <v>89</v>
      </c>
      <c r="E4" s="53"/>
      <c r="F4" s="53"/>
      <c r="G4" s="55"/>
    </row>
    <row r="5" ht="13.5" customHeight="1" thickTop="1">
      <c r="G5" s="61"/>
    </row>
    <row r="6" spans="1:7" ht="12.75">
      <c r="A6" s="57" t="s">
        <v>3</v>
      </c>
      <c r="B6" s="57" t="s">
        <v>4</v>
      </c>
      <c r="C6" s="57" t="s">
        <v>5</v>
      </c>
      <c r="D6" s="57" t="s">
        <v>6</v>
      </c>
      <c r="E6" s="57"/>
      <c r="F6" s="105" t="s">
        <v>7</v>
      </c>
      <c r="G6" s="105"/>
    </row>
    <row r="7" spans="1:7" ht="12.75">
      <c r="A7" s="13">
        <v>1</v>
      </c>
      <c r="B7" s="13">
        <v>610</v>
      </c>
      <c r="C7" s="13">
        <v>6</v>
      </c>
      <c r="D7" s="13">
        <v>22.4</v>
      </c>
      <c r="E7" s="13"/>
      <c r="F7" s="106" t="s">
        <v>127</v>
      </c>
      <c r="G7" s="106"/>
    </row>
    <row r="10" spans="1:7" ht="12.75">
      <c r="A10" s="15" t="s">
        <v>8</v>
      </c>
      <c r="B10" s="15"/>
      <c r="C10" s="16"/>
      <c r="D10" s="17"/>
      <c r="E10" s="17"/>
      <c r="F10" s="18" t="s">
        <v>9</v>
      </c>
      <c r="G10" s="19">
        <v>4425120</v>
      </c>
    </row>
    <row r="11" spans="1:7" ht="12.75">
      <c r="A11" s="14" t="s">
        <v>10</v>
      </c>
      <c r="B11" s="14" t="s">
        <v>11</v>
      </c>
      <c r="C11" s="58"/>
      <c r="F11" s="59"/>
      <c r="G11" s="60">
        <f>ROUND(IF(ISERROR(FIND("PARKING",Model,1)),IF(SellingPrice&gt;3199200,(G10-(G10/1.12)),0),(G10-(G10/1.12))),2)</f>
        <v>474120</v>
      </c>
    </row>
    <row r="12" spans="1:10" ht="12.75">
      <c r="A12" s="61">
        <v>10</v>
      </c>
      <c r="B12" s="14" t="str">
        <f>CONCATENATE(A12,"% Spot Cash Discount")</f>
        <v>10% Spot Cash Discount</v>
      </c>
      <c r="F12" s="59"/>
      <c r="G12" s="62">
        <f>((G10-G11)-Discount2Value)*(PercentageDiscount/100)</f>
        <v>371394</v>
      </c>
      <c r="I12" s="62"/>
      <c r="J12" s="62"/>
    </row>
    <row r="13" spans="2:10" ht="12.75" hidden="1">
      <c r="B13" s="14" t="s">
        <v>12</v>
      </c>
      <c r="G13" s="62">
        <v>0</v>
      </c>
      <c r="I13" s="62"/>
      <c r="J13" s="62"/>
    </row>
    <row r="14" spans="2:10" ht="12.75" hidden="1">
      <c r="B14" s="14" t="s">
        <v>13</v>
      </c>
      <c r="G14" s="62">
        <v>0</v>
      </c>
      <c r="I14" s="62"/>
      <c r="J14" s="62"/>
    </row>
    <row r="15" spans="2:9" ht="12.75" hidden="1">
      <c r="B15" s="14" t="s">
        <v>14</v>
      </c>
      <c r="G15" s="62">
        <v>0</v>
      </c>
      <c r="I15" s="62"/>
    </row>
    <row r="16" spans="2:9" ht="12.75" hidden="1">
      <c r="B16" s="14" t="s">
        <v>15</v>
      </c>
      <c r="D16" s="25" t="s">
        <v>16</v>
      </c>
      <c r="G16" s="62"/>
      <c r="I16" s="62"/>
    </row>
    <row r="17" spans="2:9" ht="12.75" hidden="1">
      <c r="B17" s="14" t="s">
        <v>17</v>
      </c>
      <c r="G17" s="62">
        <v>0</v>
      </c>
      <c r="I17" s="62"/>
    </row>
    <row r="18" spans="2:10" ht="12.75" hidden="1">
      <c r="B18" s="14" t="s">
        <v>18</v>
      </c>
      <c r="G18" s="62">
        <v>0</v>
      </c>
      <c r="H18" s="62"/>
      <c r="I18" s="62"/>
      <c r="J18" s="62"/>
    </row>
    <row r="19" spans="2:10" ht="12.75" hidden="1">
      <c r="B19" s="14" t="s">
        <v>19</v>
      </c>
      <c r="G19" s="62">
        <v>0</v>
      </c>
      <c r="J19" s="62"/>
    </row>
    <row r="20" spans="2:10" ht="12.75" hidden="1">
      <c r="B20" s="14" t="s">
        <v>20</v>
      </c>
      <c r="G20" s="62">
        <v>0</v>
      </c>
      <c r="J20" s="62"/>
    </row>
    <row r="21" spans="2:10" ht="12.75" hidden="1">
      <c r="B21" s="14" t="s">
        <v>90</v>
      </c>
      <c r="G21" s="62">
        <v>0</v>
      </c>
      <c r="J21" s="62"/>
    </row>
    <row r="22" spans="2:10" ht="12.75">
      <c r="B22" s="14" t="s">
        <v>21</v>
      </c>
      <c r="G22" s="62">
        <f>(SellingPrice-G11)*6%</f>
        <v>237060</v>
      </c>
      <c r="J22" s="62"/>
    </row>
    <row r="23" spans="6:10" ht="13.5" customHeight="1" thickBot="1">
      <c r="F23" s="59"/>
      <c r="G23" s="63"/>
      <c r="J23" s="62"/>
    </row>
    <row r="24" spans="1:7" ht="13.5" customHeight="1" thickTop="1">
      <c r="A24" s="15" t="s">
        <v>91</v>
      </c>
      <c r="B24" s="84"/>
      <c r="C24" s="17"/>
      <c r="D24" s="17"/>
      <c r="E24" s="17"/>
      <c r="F24" s="18" t="s">
        <v>9</v>
      </c>
      <c r="G24" s="85">
        <f>(G10-G11)-SUM(G12:G22)</f>
        <v>3342546</v>
      </c>
    </row>
    <row r="25" spans="1:7" ht="12.75">
      <c r="A25" s="14" t="s">
        <v>23</v>
      </c>
      <c r="B25" s="14" t="s">
        <v>11</v>
      </c>
      <c r="G25" s="62">
        <f>ROUND(IF(ISERROR(FIND("PARKING",F7,1)),IF(G24&gt;3199200,G24*12%,0),G24*12%),2)</f>
        <v>401105.52</v>
      </c>
    </row>
    <row r="26" spans="1:7" ht="12.75" hidden="1">
      <c r="A26" s="61">
        <v>6</v>
      </c>
      <c r="B26" s="14" t="s">
        <v>24</v>
      </c>
      <c r="G26" s="62">
        <f>ROUND(G24*(A26/100),2)</f>
        <v>200552.76</v>
      </c>
    </row>
    <row r="27" spans="1:7" ht="12.75" hidden="1">
      <c r="A27" s="61"/>
      <c r="B27" s="14" t="s">
        <v>25</v>
      </c>
      <c r="F27" s="61">
        <f>IF(G27&gt;50000,50000,G27)</f>
        <v>0</v>
      </c>
      <c r="G27" s="62">
        <v>0</v>
      </c>
    </row>
    <row r="28" spans="1:7" ht="12.75" hidden="1">
      <c r="A28" s="61"/>
      <c r="B28" s="14" t="s">
        <v>26</v>
      </c>
      <c r="G28" s="62">
        <v>0</v>
      </c>
    </row>
    <row r="29" spans="1:7" ht="13.5" customHeight="1" thickBot="1">
      <c r="A29" s="61"/>
      <c r="B29" s="14" t="s">
        <v>24</v>
      </c>
      <c r="G29" s="62">
        <f>ROUND(SUM(G26,G28,F27),2)</f>
        <v>200552.76</v>
      </c>
    </row>
    <row r="30" spans="1:7" ht="13.5" customHeight="1" thickTop="1">
      <c r="A30" s="15" t="s">
        <v>27</v>
      </c>
      <c r="B30" s="17"/>
      <c r="C30" s="17"/>
      <c r="D30" s="17"/>
      <c r="E30" s="17"/>
      <c r="F30" s="18" t="s">
        <v>9</v>
      </c>
      <c r="G30" s="85">
        <f>G24+SUM(G25,G29)</f>
        <v>3944204.2800000003</v>
      </c>
    </row>
    <row r="31" spans="1:7" ht="13.5" customHeight="1" thickBot="1">
      <c r="A31" s="14" t="s">
        <v>10</v>
      </c>
      <c r="B31" s="14" t="s">
        <v>31</v>
      </c>
      <c r="E31" s="67">
        <f ca="1">NOW()</f>
        <v>43848.59633946759</v>
      </c>
      <c r="G31" s="62">
        <v>20000</v>
      </c>
    </row>
    <row r="32" spans="1:7" ht="13.5" customHeight="1" thickTop="1">
      <c r="A32" s="86" t="s">
        <v>92</v>
      </c>
      <c r="B32" s="17"/>
      <c r="C32" s="17"/>
      <c r="D32" s="17"/>
      <c r="E32" s="87"/>
      <c r="F32" s="18" t="s">
        <v>9</v>
      </c>
      <c r="G32" s="85">
        <f>G30-G31</f>
        <v>3924204.2800000003</v>
      </c>
    </row>
    <row r="33" spans="1:3" ht="12.75">
      <c r="A33" s="61"/>
      <c r="B33" s="61"/>
      <c r="C33" s="65">
        <v>20</v>
      </c>
    </row>
    <row r="34" spans="1:7" ht="12.75">
      <c r="A34" s="61"/>
      <c r="C34" s="65"/>
      <c r="E34" s="88" t="s">
        <v>93</v>
      </c>
      <c r="F34" s="67">
        <f>ReservationDate+19</f>
        <v>43867.59633946759</v>
      </c>
      <c r="G34" s="89">
        <f>ROUND(G32*95%,2)</f>
        <v>3727994.07</v>
      </c>
    </row>
    <row r="35" spans="1:6" ht="12.75">
      <c r="A35" s="61"/>
      <c r="B35" s="81"/>
      <c r="C35" s="65"/>
      <c r="F35" s="67"/>
    </row>
    <row r="36" spans="1:7" ht="12.75">
      <c r="A36" s="61"/>
      <c r="B36" s="81"/>
      <c r="C36" s="65"/>
      <c r="E36" s="88" t="s">
        <v>94</v>
      </c>
      <c r="F36" s="67">
        <v>43982</v>
      </c>
      <c r="G36" s="89">
        <f>ROUND(G32*5%,2)</f>
        <v>196210.21</v>
      </c>
    </row>
    <row r="37" spans="1:3" ht="12.75">
      <c r="A37" s="61"/>
      <c r="B37" s="61"/>
      <c r="C37" s="65"/>
    </row>
    <row r="38" spans="1:4" ht="12.75">
      <c r="A38" s="80" t="s">
        <v>78</v>
      </c>
      <c r="B38" s="81"/>
      <c r="C38" s="81"/>
      <c r="D38" s="81"/>
    </row>
    <row r="39" spans="1:7" ht="12.75">
      <c r="A39" s="98" t="s">
        <v>124</v>
      </c>
      <c r="B39" s="98"/>
      <c r="C39" s="98"/>
      <c r="D39" s="98"/>
      <c r="E39" s="98"/>
      <c r="F39" s="98"/>
      <c r="G39" s="98"/>
    </row>
    <row r="40" spans="1:4" ht="12.75">
      <c r="A40" s="81" t="s">
        <v>79</v>
      </c>
      <c r="B40" s="81"/>
      <c r="C40" s="81"/>
      <c r="D40" s="81"/>
    </row>
    <row r="41" spans="1:4" ht="12.75">
      <c r="A41" s="81" t="s">
        <v>80</v>
      </c>
      <c r="B41" s="81"/>
      <c r="C41" s="81"/>
      <c r="D41" s="81"/>
    </row>
    <row r="42" spans="1:4" ht="12.75">
      <c r="A42" s="81" t="s">
        <v>81</v>
      </c>
      <c r="B42" s="81"/>
      <c r="C42" s="81"/>
      <c r="D42" s="81"/>
    </row>
    <row r="43" spans="1:4" ht="12.75">
      <c r="A43" s="82" t="s">
        <v>82</v>
      </c>
      <c r="B43" s="81"/>
      <c r="C43" s="81"/>
      <c r="D43" s="81"/>
    </row>
    <row r="44" spans="1:4" ht="12.75">
      <c r="A44" s="82" t="s">
        <v>83</v>
      </c>
      <c r="B44" s="81"/>
      <c r="C44" s="81"/>
      <c r="D44" s="81"/>
    </row>
    <row r="45" spans="1:4" ht="12.75">
      <c r="A45" s="82" t="s">
        <v>84</v>
      </c>
      <c r="B45" s="81"/>
      <c r="C45" s="81"/>
      <c r="D45" s="81"/>
    </row>
    <row r="46" spans="1:4" ht="12.75">
      <c r="A46" s="82" t="s">
        <v>85</v>
      </c>
      <c r="B46" s="81"/>
      <c r="C46" s="81"/>
      <c r="D46" s="81"/>
    </row>
    <row r="47" spans="1:4" ht="12.75">
      <c r="A47" s="82" t="s">
        <v>86</v>
      </c>
      <c r="B47" s="81"/>
      <c r="C47" s="81"/>
      <c r="D47" s="81"/>
    </row>
    <row r="48" spans="1:7" ht="12.75">
      <c r="A48" s="98" t="s">
        <v>125</v>
      </c>
      <c r="B48" s="98"/>
      <c r="C48" s="98"/>
      <c r="D48" s="98"/>
      <c r="E48" s="98"/>
      <c r="F48" s="98"/>
      <c r="G48" s="98"/>
    </row>
    <row r="49" spans="1:7" ht="12.75">
      <c r="A49" s="98"/>
      <c r="B49" s="98"/>
      <c r="C49" s="98"/>
      <c r="D49" s="98"/>
      <c r="E49" s="98"/>
      <c r="F49" s="98"/>
      <c r="G49" s="98"/>
    </row>
    <row r="50" spans="1:7" ht="12.75">
      <c r="A50" s="99"/>
      <c r="B50" s="99"/>
      <c r="C50" s="99"/>
      <c r="D50" s="99"/>
      <c r="E50" s="99"/>
      <c r="F50" s="99"/>
      <c r="G50" s="99"/>
    </row>
  </sheetData>
  <sheetProtection/>
  <mergeCells count="9">
    <mergeCell ref="A48:G48"/>
    <mergeCell ref="A49:G49"/>
    <mergeCell ref="A50:G50"/>
    <mergeCell ref="B1:F1"/>
    <mergeCell ref="B2:F2"/>
    <mergeCell ref="A3:G3"/>
    <mergeCell ref="F6:G6"/>
    <mergeCell ref="F7:G7"/>
    <mergeCell ref="A39:G39"/>
  </mergeCells>
  <conditionalFormatting sqref="B25">
    <cfRule type="expression" priority="1" dxfId="18" stopIfTrue="1">
      <formula>$G$25=0</formula>
    </cfRule>
  </conditionalFormatting>
  <conditionalFormatting sqref="G11 G25">
    <cfRule type="cellIs" priority="2" dxfId="18" operator="equal" stopIfTrue="1">
      <formula>0</formula>
    </cfRule>
  </conditionalFormatting>
  <conditionalFormatting sqref="B11">
    <cfRule type="expression" priority="3" dxfId="18" stopIfTrue="1">
      <formula>$G$11=0</formula>
    </cfRule>
  </conditionalFormatting>
  <printOptions horizontalCentered="1"/>
  <pageMargins left="0.25" right="0.25" top="0.5" bottom="0.5" header="0.5" footer="0.5"/>
  <pageSetup fitToHeight="1" fitToWidth="1" horizontalDpi="300" verticalDpi="300" orientation="portrait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J116"/>
  <sheetViews>
    <sheetView zoomScalePageLayoutView="0" workbookViewId="0" topLeftCell="A1">
      <selection activeCell="A6" sqref="A6:G10"/>
    </sheetView>
  </sheetViews>
  <sheetFormatPr defaultColWidth="12.375" defaultRowHeight="12.75" customHeight="1"/>
  <cols>
    <col min="1" max="1" width="15.25390625" style="14" customWidth="1"/>
    <col min="2" max="4" width="12.375" style="14" customWidth="1"/>
    <col min="5" max="6" width="14.625" style="14" customWidth="1"/>
    <col min="7" max="7" width="23.375" style="14" customWidth="1"/>
    <col min="8" max="8" width="15.00390625" style="14" hidden="1" customWidth="1"/>
    <col min="9" max="9" width="15.00390625" style="14" customWidth="1"/>
    <col min="10" max="10" width="14.125" style="14" customWidth="1"/>
    <col min="11" max="16384" width="12.375" style="14" customWidth="1"/>
  </cols>
  <sheetData>
    <row r="1" spans="1:7" ht="14.25" customHeight="1" thickTop="1">
      <c r="A1" s="48" t="s">
        <v>95</v>
      </c>
      <c r="B1" s="100" t="s">
        <v>1</v>
      </c>
      <c r="C1" s="100"/>
      <c r="D1" s="100"/>
      <c r="E1" s="100"/>
      <c r="F1" s="100"/>
      <c r="G1" s="49"/>
    </row>
    <row r="2" spans="1:7" ht="14.25" customHeight="1">
      <c r="A2" s="50"/>
      <c r="B2" s="101" t="s">
        <v>2</v>
      </c>
      <c r="C2" s="101"/>
      <c r="D2" s="101"/>
      <c r="E2" s="101"/>
      <c r="F2" s="101"/>
      <c r="G2" s="51"/>
    </row>
    <row r="3" spans="1:7" ht="30" customHeight="1">
      <c r="A3" s="102" t="s">
        <v>123</v>
      </c>
      <c r="B3" s="103"/>
      <c r="C3" s="103"/>
      <c r="D3" s="103"/>
      <c r="E3" s="103"/>
      <c r="F3" s="103"/>
      <c r="G3" s="104"/>
    </row>
    <row r="4" spans="1:7" ht="13.5" customHeight="1" thickBot="1">
      <c r="A4" s="52">
        <f>IF(A43&lt;=12,12,A43)</f>
        <v>60</v>
      </c>
      <c r="B4" s="53"/>
      <c r="C4" s="53"/>
      <c r="D4" s="54" t="str">
        <f>IF(A43&gt;G5,"TERM IS SUBJECT FOR APPROVAL","SAMPLECOMPUTATION ONLY")</f>
        <v>TERM IS SUBJECT FOR APPROVAL</v>
      </c>
      <c r="E4" s="53"/>
      <c r="F4" s="53"/>
      <c r="G4" s="55"/>
    </row>
    <row r="5" ht="13.5" customHeight="1" thickTop="1">
      <c r="G5" s="56">
        <v>42</v>
      </c>
    </row>
    <row r="6" spans="1:7" ht="12.75">
      <c r="A6" s="57" t="s">
        <v>3</v>
      </c>
      <c r="B6" s="57" t="s">
        <v>4</v>
      </c>
      <c r="C6" s="57" t="s">
        <v>5</v>
      </c>
      <c r="D6" s="57" t="s">
        <v>6</v>
      </c>
      <c r="E6" s="57"/>
      <c r="F6" s="105" t="s">
        <v>7</v>
      </c>
      <c r="G6" s="105"/>
    </row>
    <row r="7" spans="1:7" ht="12.75">
      <c r="A7" s="13">
        <v>1</v>
      </c>
      <c r="B7" s="13">
        <v>610</v>
      </c>
      <c r="C7" s="13">
        <v>6</v>
      </c>
      <c r="D7" s="13">
        <v>22.4</v>
      </c>
      <c r="E7" s="13"/>
      <c r="F7" s="106" t="s">
        <v>127</v>
      </c>
      <c r="G7" s="106"/>
    </row>
    <row r="10" spans="1:7" ht="12.75">
      <c r="A10" s="15" t="s">
        <v>8</v>
      </c>
      <c r="B10" s="15"/>
      <c r="C10" s="16"/>
      <c r="D10" s="17"/>
      <c r="E10" s="17"/>
      <c r="F10" s="18" t="s">
        <v>9</v>
      </c>
      <c r="G10" s="19">
        <v>4425120</v>
      </c>
    </row>
    <row r="11" spans="1:7" ht="12.75">
      <c r="A11" s="14" t="s">
        <v>10</v>
      </c>
      <c r="B11" s="14" t="s">
        <v>11</v>
      </c>
      <c r="C11" s="58"/>
      <c r="F11" s="59"/>
      <c r="G11" s="60">
        <f>ROUND(IF(ISERROR(FIND("PARKING",Model,1)),IF(SellingPrice&gt;3199200,(G10-(G10/1.12)),0),(G10-(G10/1.12))),2)</f>
        <v>474120</v>
      </c>
    </row>
    <row r="12" spans="1:10" ht="12.75">
      <c r="A12" s="61">
        <v>4</v>
      </c>
      <c r="B12" s="14" t="s">
        <v>126</v>
      </c>
      <c r="F12" s="59"/>
      <c r="G12" s="62">
        <f>((G10-G11)-G22)*(PercentageDiscount/100)</f>
        <v>148557.6</v>
      </c>
      <c r="H12" s="62">
        <f>SellingPrice-G11-Discount2Value</f>
        <v>3713940</v>
      </c>
      <c r="I12" s="62"/>
      <c r="J12" s="62"/>
    </row>
    <row r="13" spans="2:10" ht="12.75" hidden="1">
      <c r="B13" s="14" t="s">
        <v>12</v>
      </c>
      <c r="G13" s="62">
        <v>0</v>
      </c>
      <c r="I13" s="62"/>
      <c r="J13" s="62"/>
    </row>
    <row r="14" spans="2:10" ht="12.75" hidden="1">
      <c r="B14" s="14" t="s">
        <v>13</v>
      </c>
      <c r="G14" s="62">
        <v>0</v>
      </c>
      <c r="I14" s="62"/>
      <c r="J14" s="62"/>
    </row>
    <row r="15" spans="2:9" ht="12.75" hidden="1">
      <c r="B15" s="14" t="s">
        <v>14</v>
      </c>
      <c r="G15" s="62">
        <v>0</v>
      </c>
      <c r="I15" s="62"/>
    </row>
    <row r="16" spans="2:9" ht="12.75" hidden="1">
      <c r="B16" s="14" t="s">
        <v>15</v>
      </c>
      <c r="D16" s="25" t="s">
        <v>16</v>
      </c>
      <c r="G16" s="62"/>
      <c r="I16" s="62"/>
    </row>
    <row r="17" spans="2:9" ht="12.75" hidden="1">
      <c r="B17" s="14" t="s">
        <v>17</v>
      </c>
      <c r="G17" s="62">
        <v>0</v>
      </c>
      <c r="I17" s="62"/>
    </row>
    <row r="18" spans="2:10" ht="12.75" hidden="1">
      <c r="B18" s="14" t="s">
        <v>18</v>
      </c>
      <c r="G18" s="62">
        <v>0</v>
      </c>
      <c r="H18" s="62"/>
      <c r="I18" s="62"/>
      <c r="J18" s="62"/>
    </row>
    <row r="19" spans="2:10" ht="12.75" hidden="1">
      <c r="B19" s="14" t="s">
        <v>19</v>
      </c>
      <c r="G19" s="62">
        <v>0</v>
      </c>
      <c r="J19" s="62"/>
    </row>
    <row r="20" spans="2:10" ht="12.75" hidden="1">
      <c r="B20" s="14" t="s">
        <v>20</v>
      </c>
      <c r="G20" s="62">
        <v>0</v>
      </c>
      <c r="J20" s="62"/>
    </row>
    <row r="21" spans="2:10" ht="12.75" hidden="1">
      <c r="B21" s="14" t="s">
        <v>90</v>
      </c>
      <c r="G21" s="62">
        <v>0</v>
      </c>
      <c r="J21" s="62"/>
    </row>
    <row r="22" spans="2:10" ht="12.75">
      <c r="B22" s="14" t="s">
        <v>21</v>
      </c>
      <c r="G22" s="62">
        <f>(SellingPrice-G11)*6%</f>
        <v>237060</v>
      </c>
      <c r="J22" s="62"/>
    </row>
    <row r="23" spans="6:10" ht="13.5" customHeight="1" thickBot="1">
      <c r="F23" s="59"/>
      <c r="G23" s="63"/>
      <c r="H23" s="62">
        <f>H12*4%</f>
        <v>148557.6</v>
      </c>
      <c r="J23" s="62"/>
    </row>
    <row r="24" spans="1:9" ht="13.5" customHeight="1" thickTop="1">
      <c r="A24" s="15" t="s">
        <v>91</v>
      </c>
      <c r="B24" s="84"/>
      <c r="C24" s="17"/>
      <c r="D24" s="17"/>
      <c r="E24" s="17"/>
      <c r="F24" s="18" t="s">
        <v>9</v>
      </c>
      <c r="G24" s="85">
        <f>(SellingPrice-G11)-SUM(G12:G22)</f>
        <v>3565382.4</v>
      </c>
      <c r="I24" s="62"/>
    </row>
    <row r="25" spans="1:9" ht="12.75">
      <c r="A25" s="14" t="s">
        <v>23</v>
      </c>
      <c r="B25" s="14" t="s">
        <v>11</v>
      </c>
      <c r="G25" s="62">
        <f>ROUND(IF(ISERROR(FIND("PARKING",Model,1)),IF(G24&gt;3199200,G24*12%,0),G24*12%),2)</f>
        <v>427845.89</v>
      </c>
      <c r="I25" s="62"/>
    </row>
    <row r="26" spans="1:7" ht="12.75" hidden="1">
      <c r="A26" s="61">
        <v>7</v>
      </c>
      <c r="B26" s="14" t="s">
        <v>24</v>
      </c>
      <c r="G26" s="62">
        <f>ROUND(G24*(A26/100),2)</f>
        <v>249576.77</v>
      </c>
    </row>
    <row r="27" spans="1:7" ht="12.75" hidden="1">
      <c r="A27" s="61"/>
      <c r="B27" s="14" t="s">
        <v>25</v>
      </c>
      <c r="F27" s="61">
        <f>IF(G27&gt;50000,50000,G27)</f>
        <v>0</v>
      </c>
      <c r="G27" s="62">
        <v>0</v>
      </c>
    </row>
    <row r="28" spans="1:7" ht="12.75" hidden="1">
      <c r="A28" s="61"/>
      <c r="B28" s="14" t="s">
        <v>26</v>
      </c>
      <c r="G28" s="62">
        <v>0</v>
      </c>
    </row>
    <row r="29" spans="1:7" ht="13.5" customHeight="1" thickBot="1">
      <c r="A29" s="61"/>
      <c r="B29" s="14" t="s">
        <v>24</v>
      </c>
      <c r="G29" s="62">
        <f>ROUND(SUM(G26,G28,F27),2)</f>
        <v>249576.77</v>
      </c>
    </row>
    <row r="30" spans="1:7" ht="13.5" customHeight="1" thickTop="1">
      <c r="A30" s="15" t="s">
        <v>27</v>
      </c>
      <c r="B30" s="17"/>
      <c r="C30" s="17"/>
      <c r="D30" s="17"/>
      <c r="E30" s="17"/>
      <c r="F30" s="18" t="s">
        <v>9</v>
      </c>
      <c r="G30" s="85">
        <f>G24+SUM(G25,G29)</f>
        <v>4242805.06</v>
      </c>
    </row>
    <row r="31" spans="1:7" s="90" customFormat="1" ht="13.5" customHeight="1" thickBot="1">
      <c r="A31" s="90" t="s">
        <v>10</v>
      </c>
      <c r="B31" s="90" t="s">
        <v>31</v>
      </c>
      <c r="F31" s="91">
        <f ca="1">NOW()</f>
        <v>43848.59633946759</v>
      </c>
      <c r="G31" s="92">
        <v>20000</v>
      </c>
    </row>
    <row r="32" spans="1:7" ht="13.5" customHeight="1" thickTop="1">
      <c r="A32" s="15" t="s">
        <v>96</v>
      </c>
      <c r="B32" s="17"/>
      <c r="C32" s="17"/>
      <c r="D32" s="17"/>
      <c r="E32" s="87"/>
      <c r="F32" s="18" t="s">
        <v>9</v>
      </c>
      <c r="G32" s="85">
        <f>G30-G31</f>
        <v>4222805.06</v>
      </c>
    </row>
    <row r="33" ht="12.75">
      <c r="A33" s="65">
        <v>100</v>
      </c>
    </row>
    <row r="34" ht="12.75">
      <c r="A34" s="64" t="s">
        <v>28</v>
      </c>
    </row>
    <row r="35" spans="1:10" ht="13.5" customHeight="1" thickBot="1">
      <c r="A35" s="61">
        <v>20</v>
      </c>
      <c r="B35" s="14" t="str">
        <f>CONCATENATE("Spot Downpayment ("&amp;A35&amp;"% of Selling Price)")</f>
        <v>Spot Downpayment (20% of Selling Price)</v>
      </c>
      <c r="E35" s="76"/>
      <c r="F35" s="67"/>
      <c r="G35" s="62">
        <f>ROUND((SUM(G24:G25)*(A35/100))-(G31),2)</f>
        <v>778645.66</v>
      </c>
      <c r="H35" s="62"/>
      <c r="I35" s="62"/>
      <c r="J35" s="93"/>
    </row>
    <row r="36" spans="2:7" ht="13.5" customHeight="1" thickTop="1">
      <c r="B36" s="80" t="s">
        <v>97</v>
      </c>
      <c r="E36" s="76"/>
      <c r="F36" s="67">
        <f>ReservationDate+19</f>
        <v>43867.59633946759</v>
      </c>
      <c r="G36" s="94">
        <f>SUM(G35:G35)</f>
        <v>778645.66</v>
      </c>
    </row>
    <row r="37" spans="2:7" ht="12.75">
      <c r="B37" s="80"/>
      <c r="E37" s="76"/>
      <c r="F37" s="67"/>
      <c r="G37" s="95"/>
    </row>
    <row r="38" spans="1:7" ht="12.75">
      <c r="A38" s="64" t="s">
        <v>98</v>
      </c>
      <c r="B38" s="75"/>
      <c r="E38" s="76"/>
      <c r="F38" s="67"/>
      <c r="G38" s="77"/>
    </row>
    <row r="39" spans="1:9" ht="12.75">
      <c r="A39" s="61">
        <f>A33-A35</f>
        <v>80</v>
      </c>
      <c r="B39" s="96" t="str">
        <f>CONCATENATE("Balance Remaining ("&amp;A39&amp;"% of Selling Price)")</f>
        <v>Balance Remaining (80% of Selling Price)</v>
      </c>
      <c r="E39" s="76"/>
      <c r="F39" s="67"/>
      <c r="G39" s="62">
        <f>(SUM(G24:G25)-G35)-G31</f>
        <v>3194582.63</v>
      </c>
      <c r="I39" s="62"/>
    </row>
    <row r="40" spans="2:7" ht="13.5" customHeight="1" thickBot="1">
      <c r="B40" s="96" t="str">
        <f>IF(LumpOCDate&lt;&gt;"","Other Charges is payable on or before","Other Charges")</f>
        <v>Other Charges</v>
      </c>
      <c r="E40" s="76"/>
      <c r="F40" s="67"/>
      <c r="G40" s="62">
        <f>G29</f>
        <v>249576.77</v>
      </c>
    </row>
    <row r="41" spans="2:7" ht="13.5" customHeight="1" thickTop="1">
      <c r="B41" s="80" t="str">
        <f>CONCATENATE("Remaining Balance and OC due and payable in "&amp;A43&amp;" months at 0 intrest")</f>
        <v>Remaining Balance and OC due and payable in 60 months at 0 intrest</v>
      </c>
      <c r="E41" s="76"/>
      <c r="F41" s="67"/>
      <c r="G41" s="94">
        <f>SUM(G39:G40)</f>
        <v>3444159.4</v>
      </c>
    </row>
    <row r="42" spans="2:7" ht="12.75">
      <c r="B42" s="96"/>
      <c r="E42" s="76"/>
      <c r="F42" s="67"/>
      <c r="G42" s="77"/>
    </row>
    <row r="43" spans="1:7" ht="25.5" customHeight="1">
      <c r="A43" s="68">
        <v>60</v>
      </c>
      <c r="B43" s="108" t="s">
        <v>34</v>
      </c>
      <c r="C43" s="108"/>
      <c r="D43" s="69" t="s">
        <v>35</v>
      </c>
      <c r="E43" s="70" t="s">
        <v>36</v>
      </c>
      <c r="F43" s="71" t="s">
        <v>24</v>
      </c>
      <c r="G43" s="72" t="s">
        <v>37</v>
      </c>
    </row>
    <row r="44" spans="1:7" ht="12.75">
      <c r="A44" s="107" t="s">
        <v>38</v>
      </c>
      <c r="B44" s="107"/>
      <c r="C44" s="107"/>
      <c r="D44" s="73">
        <f>IF(AND(DAY(F36)&gt;2,DAY(F36)&lt;19),DATE(YEAR(F36+30),MONTH(F36+30),DAY(17)),DATE(YEAR(F36+30),MONTH(F36+30)+1,DAY(2)))</f>
        <v>43907</v>
      </c>
      <c r="E44" s="60">
        <f>ROUND(G39/A43,2)</f>
        <v>53243.04</v>
      </c>
      <c r="F44" s="74">
        <f>ROUND(IF(LumpOCDate&lt;&gt;"",IF(D44=LumpOCDate,$G$40,0),$G$40/NoDPSchedule),2)</f>
        <v>4159.61</v>
      </c>
      <c r="G44" s="62">
        <f>SUM(E44:F44)</f>
        <v>57402.65</v>
      </c>
    </row>
    <row r="45" spans="1:7" ht="12.75">
      <c r="A45" s="107" t="s">
        <v>39</v>
      </c>
      <c r="B45" s="107"/>
      <c r="C45" s="107"/>
      <c r="D45" s="73">
        <f>IF($A$43&lt;VALUE(LEFT(A45,1))," ",DATE(YEAR(D44+30),MONTH(D44+30),DAY(D44)))</f>
        <v>43938</v>
      </c>
      <c r="E45" s="60">
        <f>IF($A$43&lt;VALUE(LEFT(A45,1))," ",IF($A$43=VALUE(LEFT(A45,1)),$G$39-($E$44*($A$43-1)),E44))</f>
        <v>53243.04</v>
      </c>
      <c r="F45" s="74">
        <f>IF($A$43&lt;VALUE(LEFT(A45,1))," ",IF($A$43=VALUE(LEFT(A45,1)),$G$40-($F$44*($A$43-1)),F44))</f>
        <v>4159.61</v>
      </c>
      <c r="G45" s="62">
        <f aca="true" t="shared" si="0" ref="G45:G52">IF(NoDPSchedule&lt;VALUE(LEFT(A45,1))," ",SUM(E45:F45))</f>
        <v>57402.65</v>
      </c>
    </row>
    <row r="46" spans="1:7" ht="12.75">
      <c r="A46" s="107" t="s">
        <v>40</v>
      </c>
      <c r="B46" s="107"/>
      <c r="C46" s="107"/>
      <c r="D46" s="73">
        <f>IF($A$43&lt;VALUE(LEFT(A46,1))," ",DATE(YEAR(D45+30),MONTH(D45+30),DAY(D45)))</f>
        <v>43968</v>
      </c>
      <c r="E46" s="60">
        <f aca="true" t="shared" si="1" ref="E46:E52">IF($A$43&lt;VALUE(LEFT(A46,1))," ",IF($A$43=VALUE(LEFT(A46,1)),$G$39-($E$44*($A$43-1)),E45))</f>
        <v>53243.04</v>
      </c>
      <c r="F46" s="74">
        <f aca="true" t="shared" si="2" ref="F46:F52">IF($A$43&lt;VALUE(LEFT(A46,1))," ",IF($A$43=VALUE(LEFT(A46,1)),$G$40-($F$44*($A$43-1)),F45))</f>
        <v>4159.61</v>
      </c>
      <c r="G46" s="62">
        <f t="shared" si="0"/>
        <v>57402.65</v>
      </c>
    </row>
    <row r="47" spans="1:7" ht="12.75">
      <c r="A47" s="107" t="s">
        <v>41</v>
      </c>
      <c r="B47" s="107"/>
      <c r="C47" s="107"/>
      <c r="D47" s="73">
        <f aca="true" t="shared" si="3" ref="D47:D52">IF($A$43&lt;VALUE(LEFT(A47,1))," ",DATE(YEAR(D46+30),MONTH(D46+30),DAY(D46)))</f>
        <v>43999</v>
      </c>
      <c r="E47" s="60">
        <f t="shared" si="1"/>
        <v>53243.04</v>
      </c>
      <c r="F47" s="74">
        <f t="shared" si="2"/>
        <v>4159.61</v>
      </c>
      <c r="G47" s="62">
        <f t="shared" si="0"/>
        <v>57402.65</v>
      </c>
    </row>
    <row r="48" spans="1:7" ht="12.75">
      <c r="A48" s="107" t="s">
        <v>42</v>
      </c>
      <c r="B48" s="107"/>
      <c r="C48" s="107"/>
      <c r="D48" s="73">
        <f t="shared" si="3"/>
        <v>44029</v>
      </c>
      <c r="E48" s="60">
        <f t="shared" si="1"/>
        <v>53243.04</v>
      </c>
      <c r="F48" s="74">
        <f t="shared" si="2"/>
        <v>4159.61</v>
      </c>
      <c r="G48" s="62">
        <f t="shared" si="0"/>
        <v>57402.65</v>
      </c>
    </row>
    <row r="49" spans="1:7" ht="12.75">
      <c r="A49" s="107" t="s">
        <v>43</v>
      </c>
      <c r="B49" s="107"/>
      <c r="C49" s="107"/>
      <c r="D49" s="73">
        <f t="shared" si="3"/>
        <v>44060</v>
      </c>
      <c r="E49" s="60">
        <f t="shared" si="1"/>
        <v>53243.04</v>
      </c>
      <c r="F49" s="74">
        <f t="shared" si="2"/>
        <v>4159.61</v>
      </c>
      <c r="G49" s="62">
        <f t="shared" si="0"/>
        <v>57402.65</v>
      </c>
    </row>
    <row r="50" spans="1:7" ht="12.75">
      <c r="A50" s="107" t="s">
        <v>44</v>
      </c>
      <c r="B50" s="107"/>
      <c r="C50" s="107"/>
      <c r="D50" s="73">
        <f t="shared" si="3"/>
        <v>44091</v>
      </c>
      <c r="E50" s="60">
        <f t="shared" si="1"/>
        <v>53243.04</v>
      </c>
      <c r="F50" s="74">
        <f t="shared" si="2"/>
        <v>4159.61</v>
      </c>
      <c r="G50" s="62">
        <f t="shared" si="0"/>
        <v>57402.65</v>
      </c>
    </row>
    <row r="51" spans="1:7" ht="12.75">
      <c r="A51" s="107" t="s">
        <v>45</v>
      </c>
      <c r="B51" s="107"/>
      <c r="C51" s="107"/>
      <c r="D51" s="73">
        <f t="shared" si="3"/>
        <v>44121</v>
      </c>
      <c r="E51" s="60">
        <f t="shared" si="1"/>
        <v>53243.04</v>
      </c>
      <c r="F51" s="74">
        <f t="shared" si="2"/>
        <v>4159.61</v>
      </c>
      <c r="G51" s="62">
        <f t="shared" si="0"/>
        <v>57402.65</v>
      </c>
    </row>
    <row r="52" spans="1:7" ht="12.75">
      <c r="A52" s="107" t="s">
        <v>46</v>
      </c>
      <c r="B52" s="107"/>
      <c r="C52" s="107"/>
      <c r="D52" s="73">
        <f t="shared" si="3"/>
        <v>44152</v>
      </c>
      <c r="E52" s="60">
        <f t="shared" si="1"/>
        <v>53243.04</v>
      </c>
      <c r="F52" s="74">
        <f t="shared" si="2"/>
        <v>4159.61</v>
      </c>
      <c r="G52" s="62">
        <f t="shared" si="0"/>
        <v>57402.65</v>
      </c>
    </row>
    <row r="53" spans="1:7" ht="12.75">
      <c r="A53" s="107" t="s">
        <v>47</v>
      </c>
      <c r="B53" s="107"/>
      <c r="C53" s="107"/>
      <c r="D53" s="73">
        <f>IF($A$43&lt;VALUE(LEFT(A53,2))," ",DATE(YEAR(D52+30),MONTH(D52+30),DAY(D52)))</f>
        <v>44182</v>
      </c>
      <c r="E53" s="60">
        <f>IF($A$43&lt;VALUE(LEFT(A53,2))," ",IF($A$43=VALUE(LEFT(A53,2)),$G$39-($E$44*($A$43-1)),E52))</f>
        <v>53243.04</v>
      </c>
      <c r="F53" s="74">
        <f>IF($A$43&lt;VALUE(LEFT(A53,2))," ",IF($A$43=VALUE(LEFT(A53,2)),$G$40-($F$44*($A$43-1)),F52))</f>
        <v>4159.61</v>
      </c>
      <c r="G53" s="62">
        <f aca="true" t="shared" si="4" ref="G53:G79">IF(NoDPSchedule&lt;VALUE(LEFT(A53,2))," ",SUM(E53:F53))</f>
        <v>57402.65</v>
      </c>
    </row>
    <row r="54" spans="1:7" ht="12.75">
      <c r="A54" s="107" t="s">
        <v>48</v>
      </c>
      <c r="B54" s="107"/>
      <c r="C54" s="107"/>
      <c r="D54" s="73">
        <f aca="true" t="shared" si="5" ref="D54:D101">IF($A$43&lt;VALUE(LEFT(A54,2))," ",DATE(YEAR(D53+30),MONTH(D53+30),DAY(D53)))</f>
        <v>44213</v>
      </c>
      <c r="E54" s="60">
        <f aca="true" t="shared" si="6" ref="E54:E101">IF($A$43&lt;VALUE(LEFT(A54,2))," ",IF($A$43=VALUE(LEFT(A54,2)),$G$39-($E$44*($A$43-1)),E53))</f>
        <v>53243.04</v>
      </c>
      <c r="F54" s="74">
        <f aca="true" t="shared" si="7" ref="F54:F101">IF($A$43&lt;VALUE(LEFT(A54,2))," ",IF($A$43=VALUE(LEFT(A54,2)),$G$40-($F$44*($A$43-1)),F53))</f>
        <v>4159.61</v>
      </c>
      <c r="G54" s="62">
        <f t="shared" si="4"/>
        <v>57402.65</v>
      </c>
    </row>
    <row r="55" spans="1:7" ht="12.75">
      <c r="A55" s="107" t="s">
        <v>49</v>
      </c>
      <c r="B55" s="107"/>
      <c r="C55" s="107"/>
      <c r="D55" s="73">
        <f t="shared" si="5"/>
        <v>44244</v>
      </c>
      <c r="E55" s="60">
        <f t="shared" si="6"/>
        <v>53243.04</v>
      </c>
      <c r="F55" s="74">
        <f t="shared" si="7"/>
        <v>4159.61</v>
      </c>
      <c r="G55" s="62">
        <f t="shared" si="4"/>
        <v>57402.65</v>
      </c>
    </row>
    <row r="56" spans="1:7" ht="12.75">
      <c r="A56" s="107" t="s">
        <v>50</v>
      </c>
      <c r="B56" s="107"/>
      <c r="C56" s="107"/>
      <c r="D56" s="73">
        <f t="shared" si="5"/>
        <v>44272</v>
      </c>
      <c r="E56" s="60">
        <f t="shared" si="6"/>
        <v>53243.04</v>
      </c>
      <c r="F56" s="74">
        <f t="shared" si="7"/>
        <v>4159.61</v>
      </c>
      <c r="G56" s="62">
        <f t="shared" si="4"/>
        <v>57402.65</v>
      </c>
    </row>
    <row r="57" spans="1:7" ht="12.75">
      <c r="A57" s="107" t="s">
        <v>51</v>
      </c>
      <c r="B57" s="107"/>
      <c r="C57" s="107"/>
      <c r="D57" s="73">
        <f t="shared" si="5"/>
        <v>44303</v>
      </c>
      <c r="E57" s="60">
        <f t="shared" si="6"/>
        <v>53243.04</v>
      </c>
      <c r="F57" s="74">
        <f t="shared" si="7"/>
        <v>4159.61</v>
      </c>
      <c r="G57" s="62">
        <f t="shared" si="4"/>
        <v>57402.65</v>
      </c>
    </row>
    <row r="58" spans="1:7" ht="12.75">
      <c r="A58" s="107" t="s">
        <v>52</v>
      </c>
      <c r="B58" s="107"/>
      <c r="C58" s="107"/>
      <c r="D58" s="73">
        <f t="shared" si="5"/>
        <v>44333</v>
      </c>
      <c r="E58" s="60">
        <f t="shared" si="6"/>
        <v>53243.04</v>
      </c>
      <c r="F58" s="74">
        <f t="shared" si="7"/>
        <v>4159.61</v>
      </c>
      <c r="G58" s="62">
        <f t="shared" si="4"/>
        <v>57402.65</v>
      </c>
    </row>
    <row r="59" spans="1:7" ht="12.75">
      <c r="A59" s="107" t="s">
        <v>53</v>
      </c>
      <c r="B59" s="107"/>
      <c r="C59" s="107"/>
      <c r="D59" s="73">
        <f t="shared" si="5"/>
        <v>44364</v>
      </c>
      <c r="E59" s="60">
        <f t="shared" si="6"/>
        <v>53243.04</v>
      </c>
      <c r="F59" s="74">
        <f t="shared" si="7"/>
        <v>4159.61</v>
      </c>
      <c r="G59" s="62">
        <f t="shared" si="4"/>
        <v>57402.65</v>
      </c>
    </row>
    <row r="60" spans="1:7" ht="12.75">
      <c r="A60" s="107" t="s">
        <v>54</v>
      </c>
      <c r="B60" s="107"/>
      <c r="C60" s="107"/>
      <c r="D60" s="73">
        <f t="shared" si="5"/>
        <v>44394</v>
      </c>
      <c r="E60" s="60">
        <f t="shared" si="6"/>
        <v>53243.04</v>
      </c>
      <c r="F60" s="74">
        <f t="shared" si="7"/>
        <v>4159.61</v>
      </c>
      <c r="G60" s="62">
        <f t="shared" si="4"/>
        <v>57402.65</v>
      </c>
    </row>
    <row r="61" spans="1:7" ht="12.75">
      <c r="A61" s="107" t="s">
        <v>55</v>
      </c>
      <c r="B61" s="107"/>
      <c r="C61" s="107"/>
      <c r="D61" s="73">
        <f t="shared" si="5"/>
        <v>44425</v>
      </c>
      <c r="E61" s="60">
        <f t="shared" si="6"/>
        <v>53243.04</v>
      </c>
      <c r="F61" s="74">
        <f t="shared" si="7"/>
        <v>4159.61</v>
      </c>
      <c r="G61" s="62">
        <f t="shared" si="4"/>
        <v>57402.65</v>
      </c>
    </row>
    <row r="62" spans="1:7" ht="12.75">
      <c r="A62" s="107" t="s">
        <v>56</v>
      </c>
      <c r="B62" s="107"/>
      <c r="C62" s="107"/>
      <c r="D62" s="73">
        <f t="shared" si="5"/>
        <v>44456</v>
      </c>
      <c r="E62" s="60">
        <f t="shared" si="6"/>
        <v>53243.04</v>
      </c>
      <c r="F62" s="74">
        <f t="shared" si="7"/>
        <v>4159.61</v>
      </c>
      <c r="G62" s="62">
        <f t="shared" si="4"/>
        <v>57402.65</v>
      </c>
    </row>
    <row r="63" spans="1:7" ht="12.75">
      <c r="A63" s="107" t="s">
        <v>57</v>
      </c>
      <c r="B63" s="107"/>
      <c r="C63" s="107"/>
      <c r="D63" s="73">
        <f t="shared" si="5"/>
        <v>44486</v>
      </c>
      <c r="E63" s="60">
        <f t="shared" si="6"/>
        <v>53243.04</v>
      </c>
      <c r="F63" s="74">
        <f t="shared" si="7"/>
        <v>4159.61</v>
      </c>
      <c r="G63" s="62">
        <f t="shared" si="4"/>
        <v>57402.65</v>
      </c>
    </row>
    <row r="64" spans="1:7" ht="12.75">
      <c r="A64" s="107" t="s">
        <v>58</v>
      </c>
      <c r="B64" s="107"/>
      <c r="C64" s="107"/>
      <c r="D64" s="73">
        <f t="shared" si="5"/>
        <v>44517</v>
      </c>
      <c r="E64" s="60">
        <f t="shared" si="6"/>
        <v>53243.04</v>
      </c>
      <c r="F64" s="74">
        <f t="shared" si="7"/>
        <v>4159.61</v>
      </c>
      <c r="G64" s="62">
        <f t="shared" si="4"/>
        <v>57402.65</v>
      </c>
    </row>
    <row r="65" spans="1:7" ht="12.75">
      <c r="A65" s="107" t="s">
        <v>59</v>
      </c>
      <c r="B65" s="107"/>
      <c r="C65" s="107"/>
      <c r="D65" s="73">
        <f t="shared" si="5"/>
        <v>44547</v>
      </c>
      <c r="E65" s="60">
        <f t="shared" si="6"/>
        <v>53243.04</v>
      </c>
      <c r="F65" s="74">
        <f t="shared" si="7"/>
        <v>4159.61</v>
      </c>
      <c r="G65" s="62">
        <f t="shared" si="4"/>
        <v>57402.65</v>
      </c>
    </row>
    <row r="66" spans="1:7" ht="12.75">
      <c r="A66" s="107" t="s">
        <v>60</v>
      </c>
      <c r="B66" s="107"/>
      <c r="C66" s="107"/>
      <c r="D66" s="73">
        <f t="shared" si="5"/>
        <v>44578</v>
      </c>
      <c r="E66" s="60">
        <f t="shared" si="6"/>
        <v>53243.04</v>
      </c>
      <c r="F66" s="74">
        <f t="shared" si="7"/>
        <v>4159.61</v>
      </c>
      <c r="G66" s="62">
        <f t="shared" si="4"/>
        <v>57402.65</v>
      </c>
    </row>
    <row r="67" spans="1:7" ht="12.75">
      <c r="A67" s="107" t="s">
        <v>61</v>
      </c>
      <c r="B67" s="107"/>
      <c r="C67" s="107"/>
      <c r="D67" s="73">
        <f t="shared" si="5"/>
        <v>44609</v>
      </c>
      <c r="E67" s="60">
        <f t="shared" si="6"/>
        <v>53243.04</v>
      </c>
      <c r="F67" s="74">
        <f t="shared" si="7"/>
        <v>4159.61</v>
      </c>
      <c r="G67" s="62">
        <f t="shared" si="4"/>
        <v>57402.65</v>
      </c>
    </row>
    <row r="68" spans="1:7" ht="12.75">
      <c r="A68" s="107" t="s">
        <v>62</v>
      </c>
      <c r="B68" s="107"/>
      <c r="C68" s="107"/>
      <c r="D68" s="73">
        <f t="shared" si="5"/>
        <v>44637</v>
      </c>
      <c r="E68" s="60">
        <f t="shared" si="6"/>
        <v>53243.04</v>
      </c>
      <c r="F68" s="74">
        <f t="shared" si="7"/>
        <v>4159.61</v>
      </c>
      <c r="G68" s="62">
        <f t="shared" si="4"/>
        <v>57402.65</v>
      </c>
    </row>
    <row r="69" spans="1:7" ht="12.75">
      <c r="A69" s="107" t="s">
        <v>63</v>
      </c>
      <c r="B69" s="107"/>
      <c r="C69" s="107"/>
      <c r="D69" s="73">
        <f t="shared" si="5"/>
        <v>44668</v>
      </c>
      <c r="E69" s="60">
        <f t="shared" si="6"/>
        <v>53243.04</v>
      </c>
      <c r="F69" s="74">
        <f t="shared" si="7"/>
        <v>4159.61</v>
      </c>
      <c r="G69" s="62">
        <f t="shared" si="4"/>
        <v>57402.65</v>
      </c>
    </row>
    <row r="70" spans="1:7" ht="12.75">
      <c r="A70" s="107" t="s">
        <v>64</v>
      </c>
      <c r="B70" s="107"/>
      <c r="C70" s="107"/>
      <c r="D70" s="73">
        <f t="shared" si="5"/>
        <v>44698</v>
      </c>
      <c r="E70" s="60">
        <f t="shared" si="6"/>
        <v>53243.04</v>
      </c>
      <c r="F70" s="74">
        <f t="shared" si="7"/>
        <v>4159.61</v>
      </c>
      <c r="G70" s="62">
        <f t="shared" si="4"/>
        <v>57402.65</v>
      </c>
    </row>
    <row r="71" spans="1:7" ht="12.75">
      <c r="A71" s="107" t="s">
        <v>65</v>
      </c>
      <c r="B71" s="107"/>
      <c r="C71" s="107"/>
      <c r="D71" s="73">
        <f t="shared" si="5"/>
        <v>44729</v>
      </c>
      <c r="E71" s="60">
        <f t="shared" si="6"/>
        <v>53243.04</v>
      </c>
      <c r="F71" s="74">
        <f t="shared" si="7"/>
        <v>4159.61</v>
      </c>
      <c r="G71" s="62">
        <f t="shared" si="4"/>
        <v>57402.65</v>
      </c>
    </row>
    <row r="72" spans="1:7" ht="12.75">
      <c r="A72" s="107" t="s">
        <v>66</v>
      </c>
      <c r="B72" s="107"/>
      <c r="C72" s="107"/>
      <c r="D72" s="73">
        <f t="shared" si="5"/>
        <v>44759</v>
      </c>
      <c r="E72" s="60">
        <f t="shared" si="6"/>
        <v>53243.04</v>
      </c>
      <c r="F72" s="74">
        <f t="shared" si="7"/>
        <v>4159.61</v>
      </c>
      <c r="G72" s="62">
        <f t="shared" si="4"/>
        <v>57402.65</v>
      </c>
    </row>
    <row r="73" spans="1:7" ht="12.75">
      <c r="A73" s="107" t="s">
        <v>67</v>
      </c>
      <c r="B73" s="107"/>
      <c r="C73" s="107"/>
      <c r="D73" s="73">
        <f t="shared" si="5"/>
        <v>44790</v>
      </c>
      <c r="E73" s="60">
        <f t="shared" si="6"/>
        <v>53243.04</v>
      </c>
      <c r="F73" s="74">
        <f t="shared" si="7"/>
        <v>4159.61</v>
      </c>
      <c r="G73" s="62">
        <f t="shared" si="4"/>
        <v>57402.65</v>
      </c>
    </row>
    <row r="74" spans="1:7" ht="12.75">
      <c r="A74" s="107" t="s">
        <v>68</v>
      </c>
      <c r="B74" s="107"/>
      <c r="C74" s="107"/>
      <c r="D74" s="73">
        <f t="shared" si="5"/>
        <v>44821</v>
      </c>
      <c r="E74" s="60">
        <f t="shared" si="6"/>
        <v>53243.04</v>
      </c>
      <c r="F74" s="74">
        <f t="shared" si="7"/>
        <v>4159.61</v>
      </c>
      <c r="G74" s="62">
        <f t="shared" si="4"/>
        <v>57402.65</v>
      </c>
    </row>
    <row r="75" spans="1:7" ht="12.75">
      <c r="A75" s="107" t="s">
        <v>69</v>
      </c>
      <c r="B75" s="107"/>
      <c r="C75" s="107"/>
      <c r="D75" s="73">
        <f t="shared" si="5"/>
        <v>44851</v>
      </c>
      <c r="E75" s="60">
        <f t="shared" si="6"/>
        <v>53243.04</v>
      </c>
      <c r="F75" s="74">
        <f t="shared" si="7"/>
        <v>4159.61</v>
      </c>
      <c r="G75" s="62">
        <f t="shared" si="4"/>
        <v>57402.65</v>
      </c>
    </row>
    <row r="76" spans="1:7" ht="12.75">
      <c r="A76" s="107" t="s">
        <v>70</v>
      </c>
      <c r="B76" s="107"/>
      <c r="C76" s="107"/>
      <c r="D76" s="73">
        <f t="shared" si="5"/>
        <v>44882</v>
      </c>
      <c r="E76" s="60">
        <f t="shared" si="6"/>
        <v>53243.04</v>
      </c>
      <c r="F76" s="74">
        <f t="shared" si="7"/>
        <v>4159.61</v>
      </c>
      <c r="G76" s="62">
        <f t="shared" si="4"/>
        <v>57402.65</v>
      </c>
    </row>
    <row r="77" spans="1:7" ht="12.75">
      <c r="A77" s="107" t="s">
        <v>71</v>
      </c>
      <c r="B77" s="107"/>
      <c r="C77" s="107"/>
      <c r="D77" s="73">
        <f t="shared" si="5"/>
        <v>44912</v>
      </c>
      <c r="E77" s="60">
        <f t="shared" si="6"/>
        <v>53243.04</v>
      </c>
      <c r="F77" s="74">
        <f t="shared" si="7"/>
        <v>4159.61</v>
      </c>
      <c r="G77" s="62">
        <f t="shared" si="4"/>
        <v>57402.65</v>
      </c>
    </row>
    <row r="78" spans="1:7" ht="12.75">
      <c r="A78" s="107" t="s">
        <v>72</v>
      </c>
      <c r="B78" s="107"/>
      <c r="C78" s="107"/>
      <c r="D78" s="73">
        <f t="shared" si="5"/>
        <v>44943</v>
      </c>
      <c r="E78" s="60">
        <f t="shared" si="6"/>
        <v>53243.04</v>
      </c>
      <c r="F78" s="74">
        <f t="shared" si="7"/>
        <v>4159.61</v>
      </c>
      <c r="G78" s="62">
        <f t="shared" si="4"/>
        <v>57402.65</v>
      </c>
    </row>
    <row r="79" spans="1:7" ht="12.75">
      <c r="A79" s="107" t="s">
        <v>73</v>
      </c>
      <c r="B79" s="107"/>
      <c r="C79" s="107"/>
      <c r="D79" s="73">
        <f t="shared" si="5"/>
        <v>44974</v>
      </c>
      <c r="E79" s="60">
        <f t="shared" si="6"/>
        <v>53243.04</v>
      </c>
      <c r="F79" s="74">
        <f t="shared" si="7"/>
        <v>4159.61</v>
      </c>
      <c r="G79" s="62">
        <f t="shared" si="4"/>
        <v>57402.65</v>
      </c>
    </row>
    <row r="80" spans="1:7" ht="12.75">
      <c r="A80" s="107" t="s">
        <v>99</v>
      </c>
      <c r="B80" s="107"/>
      <c r="C80" s="107"/>
      <c r="D80" s="73">
        <f t="shared" si="5"/>
        <v>45002</v>
      </c>
      <c r="E80" s="60">
        <f t="shared" si="6"/>
        <v>53243.04</v>
      </c>
      <c r="F80" s="74">
        <f t="shared" si="7"/>
        <v>4159.61</v>
      </c>
      <c r="G80" s="62">
        <f aca="true" t="shared" si="8" ref="G80:G85">IF(NoDPSchedule&lt;VALUE(LEFT(A80,2))," ",SUM(E80:F80))</f>
        <v>57402.65</v>
      </c>
    </row>
    <row r="81" spans="1:7" ht="12.75">
      <c r="A81" s="107" t="s">
        <v>100</v>
      </c>
      <c r="B81" s="107"/>
      <c r="C81" s="107"/>
      <c r="D81" s="73">
        <f t="shared" si="5"/>
        <v>45033</v>
      </c>
      <c r="E81" s="60">
        <f t="shared" si="6"/>
        <v>53243.04</v>
      </c>
      <c r="F81" s="74">
        <f t="shared" si="7"/>
        <v>4159.61</v>
      </c>
      <c r="G81" s="62">
        <f t="shared" si="8"/>
        <v>57402.65</v>
      </c>
    </row>
    <row r="82" spans="1:7" ht="12.75">
      <c r="A82" s="107" t="s">
        <v>101</v>
      </c>
      <c r="B82" s="107"/>
      <c r="C82" s="107"/>
      <c r="D82" s="73">
        <f t="shared" si="5"/>
        <v>45063</v>
      </c>
      <c r="E82" s="60">
        <f t="shared" si="6"/>
        <v>53243.04</v>
      </c>
      <c r="F82" s="74">
        <f t="shared" si="7"/>
        <v>4159.61</v>
      </c>
      <c r="G82" s="62">
        <f t="shared" si="8"/>
        <v>57402.65</v>
      </c>
    </row>
    <row r="83" spans="1:7" ht="12.75">
      <c r="A83" s="107" t="s">
        <v>102</v>
      </c>
      <c r="B83" s="107"/>
      <c r="C83" s="107"/>
      <c r="D83" s="73">
        <f t="shared" si="5"/>
        <v>45094</v>
      </c>
      <c r="E83" s="60">
        <f t="shared" si="6"/>
        <v>53243.04</v>
      </c>
      <c r="F83" s="74">
        <f t="shared" si="7"/>
        <v>4159.61</v>
      </c>
      <c r="G83" s="62">
        <f t="shared" si="8"/>
        <v>57402.65</v>
      </c>
    </row>
    <row r="84" spans="1:7" ht="12.75">
      <c r="A84" s="107" t="s">
        <v>103</v>
      </c>
      <c r="B84" s="107"/>
      <c r="C84" s="107"/>
      <c r="D84" s="73">
        <f t="shared" si="5"/>
        <v>45124</v>
      </c>
      <c r="E84" s="60">
        <f t="shared" si="6"/>
        <v>53243.04</v>
      </c>
      <c r="F84" s="74">
        <f t="shared" si="7"/>
        <v>4159.61</v>
      </c>
      <c r="G84" s="62">
        <f t="shared" si="8"/>
        <v>57402.65</v>
      </c>
    </row>
    <row r="85" spans="1:7" ht="12.75">
      <c r="A85" s="107" t="s">
        <v>104</v>
      </c>
      <c r="B85" s="107"/>
      <c r="C85" s="107"/>
      <c r="D85" s="73">
        <f t="shared" si="5"/>
        <v>45155</v>
      </c>
      <c r="E85" s="60">
        <f t="shared" si="6"/>
        <v>53243.04</v>
      </c>
      <c r="F85" s="74">
        <f t="shared" si="7"/>
        <v>4159.61</v>
      </c>
      <c r="G85" s="62">
        <f t="shared" si="8"/>
        <v>57402.65</v>
      </c>
    </row>
    <row r="86" spans="1:7" ht="12.75">
      <c r="A86" s="107" t="s">
        <v>105</v>
      </c>
      <c r="B86" s="107"/>
      <c r="C86" s="107"/>
      <c r="D86" s="73">
        <f t="shared" si="5"/>
        <v>45186</v>
      </c>
      <c r="E86" s="60">
        <f t="shared" si="6"/>
        <v>53243.04</v>
      </c>
      <c r="F86" s="74">
        <f t="shared" si="7"/>
        <v>4159.61</v>
      </c>
      <c r="G86" s="62">
        <f aca="true" t="shared" si="9" ref="G86:G95">IF(NoDPSchedule&lt;VALUE(LEFT(A86,2))," ",SUM(E86:F86))</f>
        <v>57402.65</v>
      </c>
    </row>
    <row r="87" spans="1:7" ht="12.75">
      <c r="A87" s="107" t="s">
        <v>106</v>
      </c>
      <c r="B87" s="107"/>
      <c r="C87" s="107"/>
      <c r="D87" s="73">
        <f t="shared" si="5"/>
        <v>45216</v>
      </c>
      <c r="E87" s="60">
        <f t="shared" si="6"/>
        <v>53243.04</v>
      </c>
      <c r="F87" s="74">
        <f t="shared" si="7"/>
        <v>4159.61</v>
      </c>
      <c r="G87" s="62">
        <f t="shared" si="9"/>
        <v>57402.65</v>
      </c>
    </row>
    <row r="88" spans="1:7" ht="12.75">
      <c r="A88" s="107" t="s">
        <v>107</v>
      </c>
      <c r="B88" s="107"/>
      <c r="C88" s="107"/>
      <c r="D88" s="73">
        <f t="shared" si="5"/>
        <v>45247</v>
      </c>
      <c r="E88" s="60">
        <f t="shared" si="6"/>
        <v>53243.04</v>
      </c>
      <c r="F88" s="74">
        <f t="shared" si="7"/>
        <v>4159.61</v>
      </c>
      <c r="G88" s="62">
        <f t="shared" si="9"/>
        <v>57402.65</v>
      </c>
    </row>
    <row r="89" spans="1:7" ht="12.75">
      <c r="A89" s="107" t="s">
        <v>108</v>
      </c>
      <c r="B89" s="107"/>
      <c r="C89" s="107"/>
      <c r="D89" s="73">
        <f t="shared" si="5"/>
        <v>45277</v>
      </c>
      <c r="E89" s="60">
        <f t="shared" si="6"/>
        <v>53243.04</v>
      </c>
      <c r="F89" s="74">
        <f t="shared" si="7"/>
        <v>4159.61</v>
      </c>
      <c r="G89" s="62">
        <f t="shared" si="9"/>
        <v>57402.65</v>
      </c>
    </row>
    <row r="90" spans="1:7" ht="12.75">
      <c r="A90" s="107" t="s">
        <v>109</v>
      </c>
      <c r="B90" s="107"/>
      <c r="C90" s="107"/>
      <c r="D90" s="73">
        <f t="shared" si="5"/>
        <v>45308</v>
      </c>
      <c r="E90" s="60">
        <f t="shared" si="6"/>
        <v>53243.04</v>
      </c>
      <c r="F90" s="74">
        <f t="shared" si="7"/>
        <v>4159.61</v>
      </c>
      <c r="G90" s="62">
        <f t="shared" si="9"/>
        <v>57402.65</v>
      </c>
    </row>
    <row r="91" spans="1:7" ht="12.75">
      <c r="A91" s="107" t="s">
        <v>110</v>
      </c>
      <c r="B91" s="107"/>
      <c r="C91" s="107"/>
      <c r="D91" s="73">
        <f t="shared" si="5"/>
        <v>45339</v>
      </c>
      <c r="E91" s="60">
        <f t="shared" si="6"/>
        <v>53243.04</v>
      </c>
      <c r="F91" s="74">
        <f t="shared" si="7"/>
        <v>4159.61</v>
      </c>
      <c r="G91" s="62">
        <f t="shared" si="9"/>
        <v>57402.65</v>
      </c>
    </row>
    <row r="92" spans="1:7" ht="12.75">
      <c r="A92" s="107" t="s">
        <v>111</v>
      </c>
      <c r="B92" s="107"/>
      <c r="C92" s="107"/>
      <c r="D92" s="73">
        <f t="shared" si="5"/>
        <v>45368</v>
      </c>
      <c r="E92" s="60">
        <f t="shared" si="6"/>
        <v>53243.04</v>
      </c>
      <c r="F92" s="74">
        <f t="shared" si="7"/>
        <v>4159.61</v>
      </c>
      <c r="G92" s="62">
        <f t="shared" si="9"/>
        <v>57402.65</v>
      </c>
    </row>
    <row r="93" spans="1:7" ht="12.75">
      <c r="A93" s="107" t="s">
        <v>112</v>
      </c>
      <c r="B93" s="107"/>
      <c r="C93" s="107"/>
      <c r="D93" s="73">
        <f t="shared" si="5"/>
        <v>45399</v>
      </c>
      <c r="E93" s="60">
        <f t="shared" si="6"/>
        <v>53243.04</v>
      </c>
      <c r="F93" s="74">
        <f t="shared" si="7"/>
        <v>4159.61</v>
      </c>
      <c r="G93" s="62">
        <f t="shared" si="9"/>
        <v>57402.65</v>
      </c>
    </row>
    <row r="94" spans="1:7" ht="12.75">
      <c r="A94" s="107" t="s">
        <v>113</v>
      </c>
      <c r="B94" s="107"/>
      <c r="C94" s="107"/>
      <c r="D94" s="73">
        <f t="shared" si="5"/>
        <v>45429</v>
      </c>
      <c r="E94" s="60">
        <f t="shared" si="6"/>
        <v>53243.04</v>
      </c>
      <c r="F94" s="74">
        <f t="shared" si="7"/>
        <v>4159.61</v>
      </c>
      <c r="G94" s="62">
        <f t="shared" si="9"/>
        <v>57402.65</v>
      </c>
    </row>
    <row r="95" spans="1:7" ht="12.75">
      <c r="A95" s="107" t="s">
        <v>114</v>
      </c>
      <c r="B95" s="107"/>
      <c r="C95" s="107"/>
      <c r="D95" s="73">
        <f t="shared" si="5"/>
        <v>45460</v>
      </c>
      <c r="E95" s="60">
        <f t="shared" si="6"/>
        <v>53243.04</v>
      </c>
      <c r="F95" s="74">
        <f t="shared" si="7"/>
        <v>4159.61</v>
      </c>
      <c r="G95" s="62">
        <f t="shared" si="9"/>
        <v>57402.65</v>
      </c>
    </row>
    <row r="96" spans="1:7" ht="12.75">
      <c r="A96" s="107" t="s">
        <v>115</v>
      </c>
      <c r="B96" s="107"/>
      <c r="C96" s="107"/>
      <c r="D96" s="73">
        <f t="shared" si="5"/>
        <v>45490</v>
      </c>
      <c r="E96" s="60">
        <f t="shared" si="6"/>
        <v>53243.04</v>
      </c>
      <c r="F96" s="74">
        <f t="shared" si="7"/>
        <v>4159.61</v>
      </c>
      <c r="G96" s="62">
        <f aca="true" t="shared" si="10" ref="G96:G101">IF(NoDPSchedule&lt;VALUE(LEFT(A96,2))," ",SUM(E96:F96))</f>
        <v>57402.65</v>
      </c>
    </row>
    <row r="97" spans="1:7" ht="12.75">
      <c r="A97" s="107" t="s">
        <v>116</v>
      </c>
      <c r="B97" s="107"/>
      <c r="C97" s="107"/>
      <c r="D97" s="73">
        <f t="shared" si="5"/>
        <v>45521</v>
      </c>
      <c r="E97" s="60">
        <f t="shared" si="6"/>
        <v>53243.04</v>
      </c>
      <c r="F97" s="74">
        <f t="shared" si="7"/>
        <v>4159.61</v>
      </c>
      <c r="G97" s="62">
        <f t="shared" si="10"/>
        <v>57402.65</v>
      </c>
    </row>
    <row r="98" spans="1:7" ht="12.75">
      <c r="A98" s="107" t="s">
        <v>117</v>
      </c>
      <c r="B98" s="107"/>
      <c r="C98" s="107"/>
      <c r="D98" s="73">
        <f t="shared" si="5"/>
        <v>45552</v>
      </c>
      <c r="E98" s="60">
        <f t="shared" si="6"/>
        <v>53243.04</v>
      </c>
      <c r="F98" s="74">
        <f t="shared" si="7"/>
        <v>4159.61</v>
      </c>
      <c r="G98" s="62">
        <f t="shared" si="10"/>
        <v>57402.65</v>
      </c>
    </row>
    <row r="99" spans="1:7" ht="12.75">
      <c r="A99" s="107" t="s">
        <v>118</v>
      </c>
      <c r="B99" s="107"/>
      <c r="C99" s="107"/>
      <c r="D99" s="73">
        <f t="shared" si="5"/>
        <v>45582</v>
      </c>
      <c r="E99" s="60">
        <f t="shared" si="6"/>
        <v>53243.04</v>
      </c>
      <c r="F99" s="74">
        <f t="shared" si="7"/>
        <v>4159.61</v>
      </c>
      <c r="G99" s="62">
        <f t="shared" si="10"/>
        <v>57402.65</v>
      </c>
    </row>
    <row r="100" spans="1:7" ht="12.75">
      <c r="A100" s="107" t="s">
        <v>119</v>
      </c>
      <c r="B100" s="107"/>
      <c r="C100" s="107"/>
      <c r="D100" s="73">
        <f t="shared" si="5"/>
        <v>45613</v>
      </c>
      <c r="E100" s="60">
        <f t="shared" si="6"/>
        <v>53243.04</v>
      </c>
      <c r="F100" s="74">
        <f t="shared" si="7"/>
        <v>4159.61</v>
      </c>
      <c r="G100" s="62">
        <f t="shared" si="10"/>
        <v>57402.65</v>
      </c>
    </row>
    <row r="101" spans="1:7" ht="12.75">
      <c r="A101" s="107" t="s">
        <v>120</v>
      </c>
      <c r="B101" s="107"/>
      <c r="C101" s="107"/>
      <c r="D101" s="73">
        <f t="shared" si="5"/>
        <v>45643</v>
      </c>
      <c r="E101" s="60">
        <f t="shared" si="6"/>
        <v>53243.04</v>
      </c>
      <c r="F101" s="74">
        <f t="shared" si="7"/>
        <v>4159.61</v>
      </c>
      <c r="G101" s="62">
        <f t="shared" si="10"/>
        <v>57402.65</v>
      </c>
    </row>
    <row r="102" spans="1:7" ht="12.75">
      <c r="A102" s="107" t="s">
        <v>121</v>
      </c>
      <c r="B102" s="107"/>
      <c r="C102" s="107"/>
      <c r="D102" s="73">
        <f>IF($A$43&lt;VALUE(LEFT(A102,2))," ",DATE(YEAR(D101+30),MONTH(D101+30),DAY(D101)))</f>
        <v>45674</v>
      </c>
      <c r="E102" s="60">
        <f>IF($A$43&lt;VALUE(LEFT(A102,2))," ",IF($A$43=VALUE(LEFT(A102,2)),$G$39-($E$44*($A$43-1)),E101))</f>
        <v>53243.04</v>
      </c>
      <c r="F102" s="74">
        <f>IF($A$43&lt;VALUE(LEFT(A102,2))," ",IF($A$43=VALUE(LEFT(A102,2)),$G$40-($F$44*($A$43-1)),F101))</f>
        <v>4159.61</v>
      </c>
      <c r="G102" s="62">
        <f>IF(NoDPSchedule&lt;VALUE(LEFT(A102,2))," ",SUM(E102:F102))</f>
        <v>57402.65</v>
      </c>
    </row>
    <row r="103" spans="1:7" ht="12.75">
      <c r="A103" s="107" t="s">
        <v>122</v>
      </c>
      <c r="B103" s="107"/>
      <c r="C103" s="107"/>
      <c r="D103" s="73">
        <f>IF($A$43&lt;VALUE(LEFT(A103,2))," ",DATE(YEAR(D102+30),MONTH(D102+30),DAY(D102)))</f>
        <v>45705</v>
      </c>
      <c r="E103" s="60">
        <f>IF($A$43&lt;VALUE(LEFT(A103,2))," ",IF($A$43=VALUE(LEFT(A103,2)),$G$39-($E$44*($A$43-1)),E102))</f>
        <v>53243.27000000002</v>
      </c>
      <c r="F103" s="74">
        <f>IF($A$43&lt;VALUE(LEFT(A103,2))," ",IF($A$43=VALUE(LEFT(A103,2)),$G$40-($F$44*($A$43-1)),F102))</f>
        <v>4159.779999999999</v>
      </c>
      <c r="G103" s="62">
        <f>IF(NoDPSchedule&lt;VALUE(LEFT(A103,2))," ",SUM(E103:F103))</f>
        <v>57403.05000000002</v>
      </c>
    </row>
    <row r="105" spans="1:4" ht="12.75">
      <c r="A105" s="80" t="s">
        <v>78</v>
      </c>
      <c r="B105" s="81"/>
      <c r="C105" s="81"/>
      <c r="D105" s="81"/>
    </row>
    <row r="106" spans="1:7" ht="12.75">
      <c r="A106" s="98" t="s">
        <v>124</v>
      </c>
      <c r="B106" s="98"/>
      <c r="C106" s="98"/>
      <c r="D106" s="98"/>
      <c r="E106" s="98"/>
      <c r="F106" s="98"/>
      <c r="G106" s="98"/>
    </row>
    <row r="107" spans="1:4" ht="12.75">
      <c r="A107" s="81" t="s">
        <v>79</v>
      </c>
      <c r="B107" s="81"/>
      <c r="C107" s="81"/>
      <c r="D107" s="81"/>
    </row>
    <row r="108" spans="1:4" ht="12.75">
      <c r="A108" s="81" t="s">
        <v>80</v>
      </c>
      <c r="B108" s="81"/>
      <c r="C108" s="81"/>
      <c r="D108" s="81"/>
    </row>
    <row r="109" spans="1:4" ht="12.75">
      <c r="A109" s="81" t="s">
        <v>81</v>
      </c>
      <c r="B109" s="81"/>
      <c r="C109" s="81"/>
      <c r="D109" s="81"/>
    </row>
    <row r="110" spans="1:4" ht="12.75">
      <c r="A110" s="82" t="s">
        <v>82</v>
      </c>
      <c r="B110" s="81"/>
      <c r="C110" s="81"/>
      <c r="D110" s="81"/>
    </row>
    <row r="111" spans="1:4" ht="12.75">
      <c r="A111" s="82" t="s">
        <v>83</v>
      </c>
      <c r="B111" s="81"/>
      <c r="C111" s="81"/>
      <c r="D111" s="81"/>
    </row>
    <row r="112" spans="1:4" ht="12.75">
      <c r="A112" s="82" t="s">
        <v>84</v>
      </c>
      <c r="B112" s="81"/>
      <c r="C112" s="81"/>
      <c r="D112" s="81"/>
    </row>
    <row r="113" spans="1:4" ht="12.75">
      <c r="A113" s="82" t="s">
        <v>85</v>
      </c>
      <c r="B113" s="81"/>
      <c r="C113" s="81"/>
      <c r="D113" s="81"/>
    </row>
    <row r="114" spans="1:4" ht="12.75">
      <c r="A114" s="82" t="s">
        <v>86</v>
      </c>
      <c r="B114" s="81"/>
      <c r="C114" s="81"/>
      <c r="D114" s="81"/>
    </row>
    <row r="115" spans="1:7" ht="12.75">
      <c r="A115" s="98" t="s">
        <v>125</v>
      </c>
      <c r="B115" s="98"/>
      <c r="C115" s="98"/>
      <c r="D115" s="98"/>
      <c r="E115" s="98"/>
      <c r="F115" s="98"/>
      <c r="G115" s="98"/>
    </row>
    <row r="116" spans="1:7" ht="12.75">
      <c r="A116" s="98"/>
      <c r="B116" s="98"/>
      <c r="C116" s="98"/>
      <c r="D116" s="98"/>
      <c r="E116" s="98"/>
      <c r="F116" s="98"/>
      <c r="G116" s="98"/>
    </row>
  </sheetData>
  <sheetProtection/>
  <mergeCells count="69">
    <mergeCell ref="A115:G115"/>
    <mergeCell ref="A93:C93"/>
    <mergeCell ref="A94:C94"/>
    <mergeCell ref="A95:C95"/>
    <mergeCell ref="A96:C96"/>
    <mergeCell ref="A116:G116"/>
    <mergeCell ref="A98:C98"/>
    <mergeCell ref="A99:C99"/>
    <mergeCell ref="A100:C100"/>
    <mergeCell ref="A101:C101"/>
    <mergeCell ref="A106:G106"/>
    <mergeCell ref="A83:C83"/>
    <mergeCell ref="A84:C84"/>
    <mergeCell ref="A97:C97"/>
    <mergeCell ref="A86:C86"/>
    <mergeCell ref="A87:C87"/>
    <mergeCell ref="A88:C88"/>
    <mergeCell ref="A89:C89"/>
    <mergeCell ref="A90:C90"/>
    <mergeCell ref="A91:C91"/>
    <mergeCell ref="A92:C92"/>
    <mergeCell ref="A85:C85"/>
    <mergeCell ref="A74:C74"/>
    <mergeCell ref="A75:C75"/>
    <mergeCell ref="A76:C76"/>
    <mergeCell ref="A77:C77"/>
    <mergeCell ref="A78:C78"/>
    <mergeCell ref="A79:C79"/>
    <mergeCell ref="A80:C80"/>
    <mergeCell ref="A81:C81"/>
    <mergeCell ref="A61:C61"/>
    <mergeCell ref="A82:C82"/>
    <mergeCell ref="A67:C67"/>
    <mergeCell ref="A68:C68"/>
    <mergeCell ref="A69:C69"/>
    <mergeCell ref="A70:C70"/>
    <mergeCell ref="A71:C71"/>
    <mergeCell ref="A72:C72"/>
    <mergeCell ref="A73:C73"/>
    <mergeCell ref="A47:C47"/>
    <mergeCell ref="A63:C63"/>
    <mergeCell ref="A64:C64"/>
    <mergeCell ref="A65:C65"/>
    <mergeCell ref="A66:C66"/>
    <mergeCell ref="A55:C55"/>
    <mergeCell ref="A56:C56"/>
    <mergeCell ref="A57:C57"/>
    <mergeCell ref="A58:C58"/>
    <mergeCell ref="A59:C59"/>
    <mergeCell ref="A54:C54"/>
    <mergeCell ref="A102:C102"/>
    <mergeCell ref="A103:C103"/>
    <mergeCell ref="A49:C49"/>
    <mergeCell ref="A50:C50"/>
    <mergeCell ref="A51:C51"/>
    <mergeCell ref="A52:C52"/>
    <mergeCell ref="A53:C53"/>
    <mergeCell ref="A62:C62"/>
    <mergeCell ref="A60:C60"/>
    <mergeCell ref="B1:F1"/>
    <mergeCell ref="B2:F2"/>
    <mergeCell ref="A3:G3"/>
    <mergeCell ref="F6:G6"/>
    <mergeCell ref="F7:G7"/>
    <mergeCell ref="A48:C48"/>
    <mergeCell ref="A44:C44"/>
    <mergeCell ref="B43:C43"/>
    <mergeCell ref="A45:C45"/>
    <mergeCell ref="A46:C46"/>
  </mergeCells>
  <conditionalFormatting sqref="A45:C52">
    <cfRule type="expression" priority="1" dxfId="18" stopIfTrue="1">
      <formula>VALUE(NoDPSchedule)&lt;VALUE(LEFT(A45,1))</formula>
    </cfRule>
  </conditionalFormatting>
  <conditionalFormatting sqref="A53:C103">
    <cfRule type="expression" priority="2" dxfId="18" stopIfTrue="1">
      <formula>VALUE(NoDPSchedule)&lt;VALUE(LEFT(A53,2))</formula>
    </cfRule>
  </conditionalFormatting>
  <conditionalFormatting sqref="G11 G25">
    <cfRule type="expression" priority="3" dxfId="18" stopIfTrue="1">
      <formula>G11=0</formula>
    </cfRule>
  </conditionalFormatting>
  <conditionalFormatting sqref="B11">
    <cfRule type="expression" priority="4" dxfId="18" stopIfTrue="1">
      <formula>G11=0</formula>
    </cfRule>
  </conditionalFormatting>
  <conditionalFormatting sqref="B25">
    <cfRule type="expression" priority="5" dxfId="18" stopIfTrue="1">
      <formula>G25=0</formula>
    </cfRule>
  </conditionalFormatting>
  <printOptions horizontalCentered="1"/>
  <pageMargins left="0.25" right="0.25" top="0.5" bottom="0.5" header="0.5" footer="0.5"/>
  <pageSetup fitToHeight="1" fitToWidth="1" horizontalDpi="300" verticalDpi="300" orientation="portrait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126"/>
  <sheetViews>
    <sheetView zoomScalePageLayoutView="0" workbookViewId="0" topLeftCell="A7">
      <selection activeCell="B14" sqref="B14"/>
    </sheetView>
  </sheetViews>
  <sheetFormatPr defaultColWidth="12.375" defaultRowHeight="12.75" customHeight="1"/>
  <cols>
    <col min="1" max="4" width="12.375" style="3" customWidth="1"/>
    <col min="5" max="6" width="14.625" style="3" customWidth="1"/>
    <col min="7" max="7" width="17.50390625" style="3" customWidth="1"/>
    <col min="8" max="9" width="15.00390625" style="3" customWidth="1"/>
    <col min="10" max="10" width="14.125" style="3" customWidth="1"/>
    <col min="11" max="16384" width="12.375" style="3" customWidth="1"/>
  </cols>
  <sheetData>
    <row r="1" spans="1:5" ht="15.75" customHeight="1">
      <c r="A1" s="1" t="s">
        <v>0</v>
      </c>
      <c r="B1" s="1"/>
      <c r="C1" s="1"/>
      <c r="D1" s="1"/>
      <c r="E1" s="2"/>
    </row>
    <row r="2" spans="1:5" s="14" customFormat="1" ht="16.5" customHeight="1" thickBot="1">
      <c r="A2" s="97" t="s">
        <v>128</v>
      </c>
      <c r="B2" s="47"/>
      <c r="C2" s="47"/>
      <c r="D2" s="47"/>
      <c r="E2" s="47"/>
    </row>
    <row r="3" spans="1:7" ht="14.25" customHeight="1" thickTop="1">
      <c r="A3" s="4"/>
      <c r="B3" s="110" t="s">
        <v>1</v>
      </c>
      <c r="C3" s="110"/>
      <c r="D3" s="110"/>
      <c r="E3" s="110"/>
      <c r="F3" s="110"/>
      <c r="G3" s="5"/>
    </row>
    <row r="4" spans="1:7" ht="14.25" customHeight="1">
      <c r="A4" s="6"/>
      <c r="B4" s="111" t="s">
        <v>2</v>
      </c>
      <c r="C4" s="111"/>
      <c r="D4" s="111"/>
      <c r="E4" s="111"/>
      <c r="F4" s="111"/>
      <c r="G4" s="7"/>
    </row>
    <row r="5" spans="1:7" ht="30" customHeight="1">
      <c r="A5" s="102" t="s">
        <v>123</v>
      </c>
      <c r="B5" s="103"/>
      <c r="C5" s="103"/>
      <c r="D5" s="103"/>
      <c r="E5" s="103"/>
      <c r="F5" s="103"/>
      <c r="G5" s="104"/>
    </row>
    <row r="6" spans="1:7" ht="15" customHeight="1" thickBot="1">
      <c r="A6" s="8">
        <f>IF(A49&lt;=12,12,A49)</f>
        <v>60</v>
      </c>
      <c r="B6" s="9"/>
      <c r="C6" s="9"/>
      <c r="D6" s="10" t="str">
        <f>IF(A49&gt;G7,"TERM IS SUBJECT FOR APPROVAL","SAMPLE COMPUTATION ONLY")</f>
        <v>TERM IS SUBJECT FOR APPROVAL</v>
      </c>
      <c r="E6" s="9"/>
      <c r="F6" s="9"/>
      <c r="G6" s="11"/>
    </row>
    <row r="7" ht="13.5" customHeight="1" thickTop="1">
      <c r="G7" s="12">
        <v>36</v>
      </c>
    </row>
    <row r="8" spans="1:7" ht="12.75">
      <c r="A8" s="57" t="s">
        <v>3</v>
      </c>
      <c r="B8" s="57" t="s">
        <v>4</v>
      </c>
      <c r="C8" s="57" t="s">
        <v>5</v>
      </c>
      <c r="D8" s="57" t="s">
        <v>6</v>
      </c>
      <c r="E8" s="57"/>
      <c r="F8" s="105" t="s">
        <v>7</v>
      </c>
      <c r="G8" s="105"/>
    </row>
    <row r="9" spans="1:7" ht="12.75">
      <c r="A9" s="13">
        <v>1</v>
      </c>
      <c r="B9" s="13">
        <v>610</v>
      </c>
      <c r="C9" s="13">
        <v>6</v>
      </c>
      <c r="D9" s="13">
        <v>22.4</v>
      </c>
      <c r="E9" s="13"/>
      <c r="F9" s="106" t="s">
        <v>127</v>
      </c>
      <c r="G9" s="106"/>
    </row>
    <row r="10" spans="1:7" ht="12.75" customHeight="1">
      <c r="A10" s="14"/>
      <c r="B10" s="14"/>
      <c r="C10" s="14"/>
      <c r="D10" s="14"/>
      <c r="E10" s="14"/>
      <c r="F10" s="14"/>
      <c r="G10" s="14"/>
    </row>
    <row r="11" spans="1:7" ht="12.75" customHeight="1">
      <c r="A11" s="14"/>
      <c r="B11" s="14"/>
      <c r="C11" s="14"/>
      <c r="D11" s="14"/>
      <c r="E11" s="14"/>
      <c r="F11" s="14"/>
      <c r="G11" s="14"/>
    </row>
    <row r="12" spans="1:7" ht="12.75">
      <c r="A12" s="15" t="s">
        <v>8</v>
      </c>
      <c r="B12" s="15"/>
      <c r="C12" s="16"/>
      <c r="D12" s="17"/>
      <c r="E12" s="17"/>
      <c r="F12" s="18" t="s">
        <v>9</v>
      </c>
      <c r="G12" s="19">
        <v>4425120</v>
      </c>
    </row>
    <row r="13" spans="1:7" ht="12.75">
      <c r="A13" s="3" t="s">
        <v>10</v>
      </c>
      <c r="B13" s="3" t="s">
        <v>11</v>
      </c>
      <c r="C13" s="20"/>
      <c r="F13" s="21"/>
      <c r="G13" s="22">
        <f>ROUND(IF(ISERROR(FIND("PARKING",Model,1)),IF(SellingPrice&gt;3199200,(G12-(G12/1.12)),0),(G12-(G12/1.12))),2)</f>
        <v>474120</v>
      </c>
    </row>
    <row r="14" spans="1:10" ht="12.75">
      <c r="A14" s="23">
        <v>10</v>
      </c>
      <c r="B14" s="3" t="str">
        <f>CONCATENATE(A14,"% Discount on ",A41,"% SFDP")</f>
        <v>10% Discount on 10% SFDP</v>
      </c>
      <c r="F14" s="21"/>
      <c r="G14" s="24">
        <f>(G12-G13-Discount2Value)*(PercentageDiscount/100)*(SpotDownpayment/100)</f>
        <v>37139.4</v>
      </c>
      <c r="H14" s="24"/>
      <c r="I14" s="24"/>
      <c r="J14" s="24"/>
    </row>
    <row r="15" spans="2:10" ht="12.75" hidden="1">
      <c r="B15" s="3" t="s">
        <v>12</v>
      </c>
      <c r="G15" s="24">
        <v>0</v>
      </c>
      <c r="H15" s="24"/>
      <c r="I15" s="24"/>
      <c r="J15" s="24"/>
    </row>
    <row r="16" spans="2:10" ht="12.75" hidden="1">
      <c r="B16" s="3" t="s">
        <v>13</v>
      </c>
      <c r="G16" s="24">
        <v>0</v>
      </c>
      <c r="H16" s="24"/>
      <c r="I16" s="24"/>
      <c r="J16" s="24"/>
    </row>
    <row r="17" spans="2:9" ht="12.75" hidden="1">
      <c r="B17" s="3" t="s">
        <v>14</v>
      </c>
      <c r="G17" s="24">
        <v>0</v>
      </c>
      <c r="I17" s="24"/>
    </row>
    <row r="18" spans="2:9" ht="12.75" hidden="1">
      <c r="B18" s="3" t="s">
        <v>15</v>
      </c>
      <c r="D18" s="25" t="s">
        <v>16</v>
      </c>
      <c r="G18" s="24"/>
      <c r="I18" s="24"/>
    </row>
    <row r="19" spans="2:9" ht="12.75" hidden="1">
      <c r="B19" s="3" t="s">
        <v>17</v>
      </c>
      <c r="D19" s="14"/>
      <c r="G19" s="24">
        <v>0</v>
      </c>
      <c r="I19" s="24"/>
    </row>
    <row r="20" spans="2:10" ht="12.75" hidden="1">
      <c r="B20" s="3" t="s">
        <v>18</v>
      </c>
      <c r="D20" s="14"/>
      <c r="G20" s="24">
        <v>0</v>
      </c>
      <c r="H20" s="24"/>
      <c r="I20" s="24"/>
      <c r="J20" s="24"/>
    </row>
    <row r="21" spans="2:10" ht="12.75" hidden="1">
      <c r="B21" s="3" t="s">
        <v>19</v>
      </c>
      <c r="D21" s="14"/>
      <c r="G21" s="24">
        <v>0</v>
      </c>
      <c r="J21" s="24"/>
    </row>
    <row r="22" spans="2:10" ht="12.75" hidden="1">
      <c r="B22" s="3" t="s">
        <v>20</v>
      </c>
      <c r="D22" s="14"/>
      <c r="G22" s="24">
        <v>0</v>
      </c>
      <c r="J22" s="24"/>
    </row>
    <row r="23" spans="2:10" ht="12.75" hidden="1">
      <c r="B23" s="3" t="s">
        <v>21</v>
      </c>
      <c r="D23" s="14"/>
      <c r="G23" s="24">
        <v>0</v>
      </c>
      <c r="J23" s="24"/>
    </row>
    <row r="24" spans="2:10" ht="12.75">
      <c r="B24" s="3" t="s">
        <v>21</v>
      </c>
      <c r="D24" s="14"/>
      <c r="G24" s="24">
        <f>(G12-G13)*6%</f>
        <v>237060</v>
      </c>
      <c r="J24" s="24"/>
    </row>
    <row r="25" spans="4:10" ht="13.5" customHeight="1">
      <c r="D25" s="14"/>
      <c r="F25" s="21"/>
      <c r="G25" s="26"/>
      <c r="J25" s="24"/>
    </row>
    <row r="26" spans="1:7" ht="13.5" customHeight="1">
      <c r="A26" s="15" t="s">
        <v>22</v>
      </c>
      <c r="B26" s="15"/>
      <c r="C26" s="16"/>
      <c r="D26" s="17"/>
      <c r="E26" s="17"/>
      <c r="F26" s="18" t="s">
        <v>9</v>
      </c>
      <c r="G26" s="19">
        <f>(SellingPrice-G13)-SUM(G14:G24)</f>
        <v>3676800.6</v>
      </c>
    </row>
    <row r="27" spans="1:9" ht="12.75">
      <c r="A27" s="3" t="s">
        <v>23</v>
      </c>
      <c r="B27" s="3" t="s">
        <v>11</v>
      </c>
      <c r="G27" s="24">
        <f>ROUND(IF(ISERROR(FIND("PARKING",Model,1)),IF(G26&gt;3199200,G26*12%,0),G26*12%),2)</f>
        <v>441216.07</v>
      </c>
      <c r="I27" s="24"/>
    </row>
    <row r="28" spans="1:7" ht="12.75" hidden="1">
      <c r="A28" s="23">
        <v>7</v>
      </c>
      <c r="B28" s="3" t="s">
        <v>24</v>
      </c>
      <c r="G28" s="24">
        <f>ROUND(G26*(A28/100),2)</f>
        <v>257376.04</v>
      </c>
    </row>
    <row r="29" spans="1:7" ht="12.75" hidden="1">
      <c r="A29" s="23"/>
      <c r="B29" s="3" t="s">
        <v>25</v>
      </c>
      <c r="F29" s="23">
        <f>IF(G29&gt;50000,50000,G29)</f>
        <v>0</v>
      </c>
      <c r="G29" s="24">
        <v>0</v>
      </c>
    </row>
    <row r="30" spans="1:7" ht="12.75" hidden="1">
      <c r="A30" s="23"/>
      <c r="B30" s="3" t="s">
        <v>26</v>
      </c>
      <c r="G30" s="24">
        <v>0</v>
      </c>
    </row>
    <row r="31" spans="1:7" ht="13.5" customHeight="1">
      <c r="A31" s="23"/>
      <c r="B31" s="3" t="s">
        <v>24</v>
      </c>
      <c r="G31" s="24">
        <f>ROUND(SUM(G28,G30,F29),2)</f>
        <v>257376.04</v>
      </c>
    </row>
    <row r="32" spans="1:7" ht="13.5" customHeight="1">
      <c r="A32" s="15" t="s">
        <v>27</v>
      </c>
      <c r="B32" s="15"/>
      <c r="C32" s="16"/>
      <c r="D32" s="17"/>
      <c r="E32" s="17"/>
      <c r="F32" s="18" t="s">
        <v>9</v>
      </c>
      <c r="G32" s="19">
        <f>G26+SUM(G27,G31)</f>
        <v>4375392.71</v>
      </c>
    </row>
    <row r="34" ht="12.75">
      <c r="A34" s="27" t="s">
        <v>28</v>
      </c>
    </row>
    <row r="35" spans="1:7" ht="12.75">
      <c r="A35" s="28">
        <v>20</v>
      </c>
      <c r="B35" s="3" t="str">
        <f>CONCATENATE("Downpayment ("&amp;A35&amp;"% of Selling Price)")</f>
        <v>Downpayment (20% of Selling Price)</v>
      </c>
      <c r="G35" s="24">
        <f>ROUND((G26+G27)*(A35/100),2)</f>
        <v>823603.33</v>
      </c>
    </row>
    <row r="36" spans="1:7" ht="13.5" customHeight="1">
      <c r="A36" s="27"/>
      <c r="B36" s="3" t="s">
        <v>29</v>
      </c>
      <c r="G36" s="24">
        <f>ROUND(G31*(A35/100),2)</f>
        <v>51475.21</v>
      </c>
    </row>
    <row r="37" spans="1:7" ht="13.5" customHeight="1">
      <c r="A37" s="15" t="s">
        <v>30</v>
      </c>
      <c r="B37" s="15"/>
      <c r="C37" s="16"/>
      <c r="D37" s="17"/>
      <c r="E37" s="17"/>
      <c r="F37" s="18" t="s">
        <v>9</v>
      </c>
      <c r="G37" s="19">
        <f>SUM(G35:G36)</f>
        <v>875078.5399999999</v>
      </c>
    </row>
    <row r="38" spans="1:7" ht="13.5" customHeight="1">
      <c r="A38" s="3" t="s">
        <v>10</v>
      </c>
      <c r="B38" s="3" t="s">
        <v>31</v>
      </c>
      <c r="F38" s="29">
        <f ca="1">NOW()</f>
        <v>43848.59633946759</v>
      </c>
      <c r="G38" s="24">
        <v>20000</v>
      </c>
    </row>
    <row r="39" spans="1:7" ht="13.5" customHeight="1">
      <c r="A39" s="15" t="s">
        <v>32</v>
      </c>
      <c r="B39" s="15"/>
      <c r="C39" s="16"/>
      <c r="D39" s="17"/>
      <c r="E39" s="17"/>
      <c r="F39" s="18" t="s">
        <v>9</v>
      </c>
      <c r="G39" s="19">
        <f>G37-G38</f>
        <v>855078.5399999999</v>
      </c>
    </row>
    <row r="41" spans="1:10" ht="12.75">
      <c r="A41" s="23">
        <v>10</v>
      </c>
      <c r="B41" s="3" t="str">
        <f>CONCATENATE("Spot Downpayment ("&amp;A41&amp;"% of Selling Price)")</f>
        <v>Spot Downpayment (10% of Selling Price)</v>
      </c>
      <c r="E41" s="30"/>
      <c r="F41" s="29"/>
      <c r="G41" s="24">
        <f>ROUND((SUM(G26:G27)*(A41/100))-G38,2)</f>
        <v>391801.67</v>
      </c>
      <c r="H41" s="24"/>
      <c r="I41" s="24"/>
      <c r="J41" s="31"/>
    </row>
    <row r="42" spans="2:10" ht="13.5" customHeight="1" thickBot="1">
      <c r="B42" s="3" t="s">
        <v>24</v>
      </c>
      <c r="E42" s="30"/>
      <c r="F42" s="29"/>
      <c r="G42" s="24">
        <f>ROUND(G31*(A41/100),2)</f>
        <v>25737.6</v>
      </c>
      <c r="J42" s="24"/>
    </row>
    <row r="43" spans="2:7" ht="13.5" customHeight="1" thickTop="1">
      <c r="B43" s="32" t="s">
        <v>33</v>
      </c>
      <c r="E43" s="30"/>
      <c r="F43" s="29">
        <f>ReservationDate+19</f>
        <v>43867.59633946759</v>
      </c>
      <c r="G43" s="33">
        <f>SUM(G41:G42)</f>
        <v>417539.26999999996</v>
      </c>
    </row>
    <row r="44" spans="2:7" ht="12.75">
      <c r="B44" s="34"/>
      <c r="E44" s="30"/>
      <c r="F44" s="29"/>
      <c r="G44" s="35"/>
    </row>
    <row r="45" spans="1:7" ht="12.75">
      <c r="A45" s="23">
        <f>A35-A41</f>
        <v>10</v>
      </c>
      <c r="B45" s="36" t="str">
        <f>CONCATENATE("Streched Downpayment ("&amp;A45&amp;"% of Selling Price)")</f>
        <v>Streched Downpayment (10% of Selling Price)</v>
      </c>
      <c r="E45" s="30"/>
      <c r="F45" s="29"/>
      <c r="G45" s="24">
        <f>G35-G41-ReservationFee</f>
        <v>411801.66</v>
      </c>
    </row>
    <row r="46" spans="2:7" ht="13.5" customHeight="1" thickBot="1">
      <c r="B46" s="36" t="s">
        <v>24</v>
      </c>
      <c r="E46" s="30"/>
      <c r="F46" s="29"/>
      <c r="G46" s="24">
        <f>SUM(G36:G36)-G42</f>
        <v>25737.61</v>
      </c>
    </row>
    <row r="47" spans="2:7" ht="13.5" customHeight="1" thickTop="1">
      <c r="B47" s="32" t="str">
        <f>CONCATENATE("Total Streched DP and Other Charges payable in "&amp;A49&amp;" months")</f>
        <v>Total Streched DP and Other Charges payable in 60 months</v>
      </c>
      <c r="E47" s="30"/>
      <c r="F47" s="29"/>
      <c r="G47" s="33">
        <f>SUM(G45:G46)</f>
        <v>437539.26999999996</v>
      </c>
    </row>
    <row r="48" spans="2:7" ht="12.75">
      <c r="B48" s="36"/>
      <c r="E48" s="30"/>
      <c r="F48" s="29"/>
      <c r="G48" s="35"/>
    </row>
    <row r="49" spans="1:7" ht="25.5" customHeight="1">
      <c r="A49" s="37">
        <v>60</v>
      </c>
      <c r="B49" s="112" t="s">
        <v>34</v>
      </c>
      <c r="C49" s="112"/>
      <c r="D49" s="38" t="s">
        <v>35</v>
      </c>
      <c r="E49" s="39" t="s">
        <v>36</v>
      </c>
      <c r="F49" s="40" t="s">
        <v>24</v>
      </c>
      <c r="G49" s="41" t="s">
        <v>37</v>
      </c>
    </row>
    <row r="50" spans="1:7" ht="12.75">
      <c r="A50" s="109" t="s">
        <v>38</v>
      </c>
      <c r="B50" s="109"/>
      <c r="C50" s="109"/>
      <c r="D50" s="42">
        <f>IF(AND(DAY(F43)&gt;2,DAY(F43)&lt;19),DATE(YEAR(F43+30),MONTH(F43+30),DAY(17)),DATE(YEAR(F43+30),MONTH(F43+30)+1,DAY(2)))</f>
        <v>43907</v>
      </c>
      <c r="E50" s="22">
        <f>ROUND(G45/A49,2)</f>
        <v>6863.36</v>
      </c>
      <c r="F50" s="43">
        <f>ROUND(G46/A49,2)</f>
        <v>428.96</v>
      </c>
      <c r="G50" s="24">
        <f>SUM(E50:F50)</f>
        <v>7292.32</v>
      </c>
    </row>
    <row r="51" spans="1:7" ht="12.75">
      <c r="A51" s="109" t="s">
        <v>39</v>
      </c>
      <c r="B51" s="109"/>
      <c r="C51" s="109"/>
      <c r="D51" s="42">
        <f>IF($A$49&lt;VALUE(LEFT(A51,1))," ",DATE(YEAR(D50+30),MONTH(D50+30),DAY(D50)))</f>
        <v>43938</v>
      </c>
      <c r="E51" s="22">
        <f>IF($A$49&lt;VALUE(LEFT(A51,1))," ",IF($A$49=VALUE(LEFT(A51,1)),$G$45-($E$50*($A$49-1)),E50))</f>
        <v>6863.36</v>
      </c>
      <c r="F51" s="43">
        <f>IF($A$49&lt;VALUE(LEFT(A51,1))," ",IF($A$49=VALUE(LEFT(A51,1)),$G$46-($F$50*($A$49-1)),F50))</f>
        <v>428.96</v>
      </c>
      <c r="G51" s="24">
        <f>IF($A$49&lt;VALUE(LEFT(A51,1))," ",SUM(E51:F51))</f>
        <v>7292.32</v>
      </c>
    </row>
    <row r="52" spans="1:7" ht="12.75">
      <c r="A52" s="109" t="s">
        <v>40</v>
      </c>
      <c r="B52" s="109"/>
      <c r="C52" s="109"/>
      <c r="D52" s="42">
        <f>IF($A$49&lt;VALUE(LEFT(A52,1))," ",DATE(YEAR(D51+30),MONTH(D51+30),DAY(D51)))</f>
        <v>43968</v>
      </c>
      <c r="E52" s="22">
        <f aca="true" t="shared" si="0" ref="E52:E58">IF($A$49&lt;VALUE(LEFT(A52,1))," ",IF($A$49=VALUE(LEFT(A52,1)),$G$45-($E$50*($A$49-1)),E51))</f>
        <v>6863.36</v>
      </c>
      <c r="F52" s="43">
        <f aca="true" t="shared" si="1" ref="F52:F58">IF($A$49&lt;VALUE(LEFT(A52,1))," ",IF($A$49=VALUE(LEFT(A52,1)),$G$46-($F$50*($A$49-1)),F51))</f>
        <v>428.96</v>
      </c>
      <c r="G52" s="24">
        <f aca="true" t="shared" si="2" ref="G52:G58">IF($A$49&lt;VALUE(LEFT(A52,1))," ",SUM(E52:F52))</f>
        <v>7292.32</v>
      </c>
    </row>
    <row r="53" spans="1:7" ht="12.75">
      <c r="A53" s="109" t="s">
        <v>41</v>
      </c>
      <c r="B53" s="109"/>
      <c r="C53" s="109"/>
      <c r="D53" s="42">
        <f aca="true" t="shared" si="3" ref="D53:D58">IF($A$49&lt;VALUE(LEFT(A53,1))," ",DATE(YEAR(D52+30),MONTH(D52+30),DAY(D52)))</f>
        <v>43999</v>
      </c>
      <c r="E53" s="22">
        <f t="shared" si="0"/>
        <v>6863.36</v>
      </c>
      <c r="F53" s="43">
        <f t="shared" si="1"/>
        <v>428.96</v>
      </c>
      <c r="G53" s="24">
        <f t="shared" si="2"/>
        <v>7292.32</v>
      </c>
    </row>
    <row r="54" spans="1:7" ht="12.75">
      <c r="A54" s="109" t="s">
        <v>42</v>
      </c>
      <c r="B54" s="109"/>
      <c r="C54" s="109"/>
      <c r="D54" s="42">
        <f t="shared" si="3"/>
        <v>44029</v>
      </c>
      <c r="E54" s="22">
        <f t="shared" si="0"/>
        <v>6863.36</v>
      </c>
      <c r="F54" s="43">
        <f t="shared" si="1"/>
        <v>428.96</v>
      </c>
      <c r="G54" s="24">
        <f t="shared" si="2"/>
        <v>7292.32</v>
      </c>
    </row>
    <row r="55" spans="1:7" ht="12.75">
      <c r="A55" s="109" t="s">
        <v>43</v>
      </c>
      <c r="B55" s="109"/>
      <c r="C55" s="109"/>
      <c r="D55" s="42">
        <f t="shared" si="3"/>
        <v>44060</v>
      </c>
      <c r="E55" s="22">
        <f t="shared" si="0"/>
        <v>6863.36</v>
      </c>
      <c r="F55" s="43">
        <f t="shared" si="1"/>
        <v>428.96</v>
      </c>
      <c r="G55" s="24">
        <f t="shared" si="2"/>
        <v>7292.32</v>
      </c>
    </row>
    <row r="56" spans="1:7" ht="12.75">
      <c r="A56" s="109" t="s">
        <v>44</v>
      </c>
      <c r="B56" s="109"/>
      <c r="C56" s="109"/>
      <c r="D56" s="42">
        <f t="shared" si="3"/>
        <v>44091</v>
      </c>
      <c r="E56" s="22">
        <f t="shared" si="0"/>
        <v>6863.36</v>
      </c>
      <c r="F56" s="43">
        <f t="shared" si="1"/>
        <v>428.96</v>
      </c>
      <c r="G56" s="24">
        <f t="shared" si="2"/>
        <v>7292.32</v>
      </c>
    </row>
    <row r="57" spans="1:7" ht="12.75">
      <c r="A57" s="109" t="s">
        <v>45</v>
      </c>
      <c r="B57" s="109"/>
      <c r="C57" s="109"/>
      <c r="D57" s="42">
        <f t="shared" si="3"/>
        <v>44121</v>
      </c>
      <c r="E57" s="22">
        <f t="shared" si="0"/>
        <v>6863.36</v>
      </c>
      <c r="F57" s="43">
        <f t="shared" si="1"/>
        <v>428.96</v>
      </c>
      <c r="G57" s="24">
        <f t="shared" si="2"/>
        <v>7292.32</v>
      </c>
    </row>
    <row r="58" spans="1:7" ht="12.75">
      <c r="A58" s="109" t="s">
        <v>46</v>
      </c>
      <c r="B58" s="109"/>
      <c r="C58" s="109"/>
      <c r="D58" s="42">
        <f t="shared" si="3"/>
        <v>44152</v>
      </c>
      <c r="E58" s="22">
        <f t="shared" si="0"/>
        <v>6863.36</v>
      </c>
      <c r="F58" s="43">
        <f t="shared" si="1"/>
        <v>428.96</v>
      </c>
      <c r="G58" s="24">
        <f t="shared" si="2"/>
        <v>7292.32</v>
      </c>
    </row>
    <row r="59" spans="1:7" ht="12.75">
      <c r="A59" s="109" t="s">
        <v>47</v>
      </c>
      <c r="B59" s="109"/>
      <c r="C59" s="109"/>
      <c r="D59" s="42">
        <f>IF($A$49&lt;VALUE(LEFT(A59,2))," ",DATE(YEAR(D58+30),MONTH(D58+30),DAY(D58)))</f>
        <v>44182</v>
      </c>
      <c r="E59" s="22">
        <f>IF($A$49&lt;VALUE(LEFT(A59,2))," ",IF($A$49=VALUE(LEFT(A59,2)),$G$45-($E$50*($A$49-1)),E58))</f>
        <v>6863.36</v>
      </c>
      <c r="F59" s="43">
        <f>IF($A$49&lt;VALUE(LEFT(A59,2))," ",IF($A$49=VALUE(LEFT(A59,2)),$G$46-($F$50*($A$49-1)),F58))</f>
        <v>428.96</v>
      </c>
      <c r="G59" s="24">
        <f>IF($A$49&lt;VALUE(LEFT(A59,2))," ",SUM(E59:F59))</f>
        <v>7292.32</v>
      </c>
    </row>
    <row r="60" spans="1:7" ht="12.75">
      <c r="A60" s="109" t="s">
        <v>48</v>
      </c>
      <c r="B60" s="109"/>
      <c r="C60" s="109"/>
      <c r="D60" s="42">
        <f aca="true" t="shared" si="4" ref="D60:D84">IF($A$49&lt;VALUE(LEFT(A60,2))," ",DATE(YEAR(D59+30),MONTH(D59+30),DAY(D59)))</f>
        <v>44213</v>
      </c>
      <c r="E60" s="22">
        <f aca="true" t="shared" si="5" ref="E60:E84">IF($A$49&lt;VALUE(LEFT(A60,2))," ",IF($A$49=VALUE(LEFT(A60,2)),$G$45-($E$50*($A$49-1)),E59))</f>
        <v>6863.36</v>
      </c>
      <c r="F60" s="43">
        <f aca="true" t="shared" si="6" ref="F60:F84">IF($A$49&lt;VALUE(LEFT(A60,2))," ",IF($A$49=VALUE(LEFT(A60,2)),$G$46-($F$50*($A$49-1)),F59))</f>
        <v>428.96</v>
      </c>
      <c r="G60" s="24">
        <f aca="true" t="shared" si="7" ref="G60:G84">IF($A$49&lt;VALUE(LEFT(A60,2))," ",SUM(E60:F60))</f>
        <v>7292.32</v>
      </c>
    </row>
    <row r="61" spans="1:7" ht="12.75">
      <c r="A61" s="109" t="s">
        <v>49</v>
      </c>
      <c r="B61" s="109"/>
      <c r="C61" s="109"/>
      <c r="D61" s="42">
        <f t="shared" si="4"/>
        <v>44244</v>
      </c>
      <c r="E61" s="22">
        <f t="shared" si="5"/>
        <v>6863.36</v>
      </c>
      <c r="F61" s="43">
        <f t="shared" si="6"/>
        <v>428.96</v>
      </c>
      <c r="G61" s="24">
        <f t="shared" si="7"/>
        <v>7292.32</v>
      </c>
    </row>
    <row r="62" spans="1:7" ht="12.75">
      <c r="A62" s="109" t="s">
        <v>50</v>
      </c>
      <c r="B62" s="109"/>
      <c r="C62" s="109"/>
      <c r="D62" s="42">
        <f t="shared" si="4"/>
        <v>44272</v>
      </c>
      <c r="E62" s="22">
        <f t="shared" si="5"/>
        <v>6863.36</v>
      </c>
      <c r="F62" s="43">
        <f t="shared" si="6"/>
        <v>428.96</v>
      </c>
      <c r="G62" s="24">
        <f t="shared" si="7"/>
        <v>7292.32</v>
      </c>
    </row>
    <row r="63" spans="1:7" ht="12.75">
      <c r="A63" s="109" t="s">
        <v>51</v>
      </c>
      <c r="B63" s="109"/>
      <c r="C63" s="109"/>
      <c r="D63" s="42">
        <f t="shared" si="4"/>
        <v>44303</v>
      </c>
      <c r="E63" s="22">
        <f t="shared" si="5"/>
        <v>6863.36</v>
      </c>
      <c r="F63" s="43">
        <f t="shared" si="6"/>
        <v>428.96</v>
      </c>
      <c r="G63" s="24">
        <f t="shared" si="7"/>
        <v>7292.32</v>
      </c>
    </row>
    <row r="64" spans="1:7" ht="12.75">
      <c r="A64" s="109" t="s">
        <v>52</v>
      </c>
      <c r="B64" s="109"/>
      <c r="C64" s="109"/>
      <c r="D64" s="42">
        <f t="shared" si="4"/>
        <v>44333</v>
      </c>
      <c r="E64" s="22">
        <f t="shared" si="5"/>
        <v>6863.36</v>
      </c>
      <c r="F64" s="43">
        <f t="shared" si="6"/>
        <v>428.96</v>
      </c>
      <c r="G64" s="24">
        <f t="shared" si="7"/>
        <v>7292.32</v>
      </c>
    </row>
    <row r="65" spans="1:7" ht="12.75">
      <c r="A65" s="109" t="s">
        <v>53</v>
      </c>
      <c r="B65" s="109"/>
      <c r="C65" s="109"/>
      <c r="D65" s="42">
        <f t="shared" si="4"/>
        <v>44364</v>
      </c>
      <c r="E65" s="22">
        <f t="shared" si="5"/>
        <v>6863.36</v>
      </c>
      <c r="F65" s="43">
        <f t="shared" si="6"/>
        <v>428.96</v>
      </c>
      <c r="G65" s="24">
        <f t="shared" si="7"/>
        <v>7292.32</v>
      </c>
    </row>
    <row r="66" spans="1:7" ht="12.75">
      <c r="A66" s="109" t="s">
        <v>54</v>
      </c>
      <c r="B66" s="109"/>
      <c r="C66" s="109"/>
      <c r="D66" s="42">
        <f t="shared" si="4"/>
        <v>44394</v>
      </c>
      <c r="E66" s="22">
        <f t="shared" si="5"/>
        <v>6863.36</v>
      </c>
      <c r="F66" s="43">
        <f t="shared" si="6"/>
        <v>428.96</v>
      </c>
      <c r="G66" s="24">
        <f t="shared" si="7"/>
        <v>7292.32</v>
      </c>
    </row>
    <row r="67" spans="1:7" ht="12.75">
      <c r="A67" s="109" t="s">
        <v>55</v>
      </c>
      <c r="B67" s="109"/>
      <c r="C67" s="109"/>
      <c r="D67" s="42">
        <f t="shared" si="4"/>
        <v>44425</v>
      </c>
      <c r="E67" s="22">
        <f t="shared" si="5"/>
        <v>6863.36</v>
      </c>
      <c r="F67" s="43">
        <f t="shared" si="6"/>
        <v>428.96</v>
      </c>
      <c r="G67" s="24">
        <f t="shared" si="7"/>
        <v>7292.32</v>
      </c>
    </row>
    <row r="68" spans="1:7" ht="12.75">
      <c r="A68" s="109" t="s">
        <v>56</v>
      </c>
      <c r="B68" s="109"/>
      <c r="C68" s="109"/>
      <c r="D68" s="42">
        <f t="shared" si="4"/>
        <v>44456</v>
      </c>
      <c r="E68" s="22">
        <f t="shared" si="5"/>
        <v>6863.36</v>
      </c>
      <c r="F68" s="43">
        <f t="shared" si="6"/>
        <v>428.96</v>
      </c>
      <c r="G68" s="24">
        <f t="shared" si="7"/>
        <v>7292.32</v>
      </c>
    </row>
    <row r="69" spans="1:7" ht="12.75">
      <c r="A69" s="109" t="s">
        <v>57</v>
      </c>
      <c r="B69" s="109"/>
      <c r="C69" s="109"/>
      <c r="D69" s="42">
        <f t="shared" si="4"/>
        <v>44486</v>
      </c>
      <c r="E69" s="22">
        <f t="shared" si="5"/>
        <v>6863.36</v>
      </c>
      <c r="F69" s="43">
        <f t="shared" si="6"/>
        <v>428.96</v>
      </c>
      <c r="G69" s="24">
        <f t="shared" si="7"/>
        <v>7292.32</v>
      </c>
    </row>
    <row r="70" spans="1:7" ht="12.75">
      <c r="A70" s="109" t="s">
        <v>58</v>
      </c>
      <c r="B70" s="109"/>
      <c r="C70" s="109"/>
      <c r="D70" s="42">
        <f t="shared" si="4"/>
        <v>44517</v>
      </c>
      <c r="E70" s="22">
        <f t="shared" si="5"/>
        <v>6863.36</v>
      </c>
      <c r="F70" s="43">
        <f t="shared" si="6"/>
        <v>428.96</v>
      </c>
      <c r="G70" s="24">
        <f t="shared" si="7"/>
        <v>7292.32</v>
      </c>
    </row>
    <row r="71" spans="1:7" ht="12.75">
      <c r="A71" s="109" t="s">
        <v>59</v>
      </c>
      <c r="B71" s="109"/>
      <c r="C71" s="109"/>
      <c r="D71" s="42">
        <f t="shared" si="4"/>
        <v>44547</v>
      </c>
      <c r="E71" s="22">
        <f t="shared" si="5"/>
        <v>6863.36</v>
      </c>
      <c r="F71" s="43">
        <f t="shared" si="6"/>
        <v>428.96</v>
      </c>
      <c r="G71" s="24">
        <f t="shared" si="7"/>
        <v>7292.32</v>
      </c>
    </row>
    <row r="72" spans="1:7" ht="12.75">
      <c r="A72" s="109" t="s">
        <v>60</v>
      </c>
      <c r="B72" s="109"/>
      <c r="C72" s="109"/>
      <c r="D72" s="42">
        <f t="shared" si="4"/>
        <v>44578</v>
      </c>
      <c r="E72" s="22">
        <f t="shared" si="5"/>
        <v>6863.36</v>
      </c>
      <c r="F72" s="43">
        <f t="shared" si="6"/>
        <v>428.96</v>
      </c>
      <c r="G72" s="24">
        <f t="shared" si="7"/>
        <v>7292.32</v>
      </c>
    </row>
    <row r="73" spans="1:7" ht="12.75">
      <c r="A73" s="109" t="s">
        <v>61</v>
      </c>
      <c r="B73" s="109"/>
      <c r="C73" s="109"/>
      <c r="D73" s="42">
        <f t="shared" si="4"/>
        <v>44609</v>
      </c>
      <c r="E73" s="22">
        <f t="shared" si="5"/>
        <v>6863.36</v>
      </c>
      <c r="F73" s="43">
        <f t="shared" si="6"/>
        <v>428.96</v>
      </c>
      <c r="G73" s="24">
        <f t="shared" si="7"/>
        <v>7292.32</v>
      </c>
    </row>
    <row r="74" spans="1:7" ht="12.75">
      <c r="A74" s="109" t="s">
        <v>62</v>
      </c>
      <c r="B74" s="109"/>
      <c r="C74" s="109"/>
      <c r="D74" s="42">
        <f t="shared" si="4"/>
        <v>44637</v>
      </c>
      <c r="E74" s="22">
        <f t="shared" si="5"/>
        <v>6863.36</v>
      </c>
      <c r="F74" s="43">
        <f t="shared" si="6"/>
        <v>428.96</v>
      </c>
      <c r="G74" s="24">
        <f t="shared" si="7"/>
        <v>7292.32</v>
      </c>
    </row>
    <row r="75" spans="1:7" ht="12.75">
      <c r="A75" s="109" t="s">
        <v>63</v>
      </c>
      <c r="B75" s="109"/>
      <c r="C75" s="109"/>
      <c r="D75" s="42">
        <f t="shared" si="4"/>
        <v>44668</v>
      </c>
      <c r="E75" s="22">
        <f t="shared" si="5"/>
        <v>6863.36</v>
      </c>
      <c r="F75" s="43">
        <f t="shared" si="6"/>
        <v>428.96</v>
      </c>
      <c r="G75" s="24">
        <f t="shared" si="7"/>
        <v>7292.32</v>
      </c>
    </row>
    <row r="76" spans="1:7" ht="12.75">
      <c r="A76" s="109" t="s">
        <v>64</v>
      </c>
      <c r="B76" s="109"/>
      <c r="C76" s="109"/>
      <c r="D76" s="42">
        <f t="shared" si="4"/>
        <v>44698</v>
      </c>
      <c r="E76" s="22">
        <f t="shared" si="5"/>
        <v>6863.36</v>
      </c>
      <c r="F76" s="43">
        <f t="shared" si="6"/>
        <v>428.96</v>
      </c>
      <c r="G76" s="24">
        <f t="shared" si="7"/>
        <v>7292.32</v>
      </c>
    </row>
    <row r="77" spans="1:7" ht="12.75">
      <c r="A77" s="109" t="s">
        <v>65</v>
      </c>
      <c r="B77" s="109"/>
      <c r="C77" s="109"/>
      <c r="D77" s="42">
        <f t="shared" si="4"/>
        <v>44729</v>
      </c>
      <c r="E77" s="22">
        <f t="shared" si="5"/>
        <v>6863.36</v>
      </c>
      <c r="F77" s="43">
        <f t="shared" si="6"/>
        <v>428.96</v>
      </c>
      <c r="G77" s="24">
        <f t="shared" si="7"/>
        <v>7292.32</v>
      </c>
    </row>
    <row r="78" spans="1:7" ht="12.75">
      <c r="A78" s="109" t="s">
        <v>66</v>
      </c>
      <c r="B78" s="109"/>
      <c r="C78" s="109"/>
      <c r="D78" s="42">
        <f t="shared" si="4"/>
        <v>44759</v>
      </c>
      <c r="E78" s="22">
        <f t="shared" si="5"/>
        <v>6863.36</v>
      </c>
      <c r="F78" s="43">
        <f t="shared" si="6"/>
        <v>428.96</v>
      </c>
      <c r="G78" s="24">
        <f t="shared" si="7"/>
        <v>7292.32</v>
      </c>
    </row>
    <row r="79" spans="1:7" ht="12.75">
      <c r="A79" s="109" t="s">
        <v>67</v>
      </c>
      <c r="B79" s="109"/>
      <c r="C79" s="109"/>
      <c r="D79" s="42">
        <f t="shared" si="4"/>
        <v>44790</v>
      </c>
      <c r="E79" s="22">
        <f t="shared" si="5"/>
        <v>6863.36</v>
      </c>
      <c r="F79" s="43">
        <f t="shared" si="6"/>
        <v>428.96</v>
      </c>
      <c r="G79" s="24">
        <f t="shared" si="7"/>
        <v>7292.32</v>
      </c>
    </row>
    <row r="80" spans="1:7" ht="12.75">
      <c r="A80" s="109" t="s">
        <v>68</v>
      </c>
      <c r="B80" s="109"/>
      <c r="C80" s="109"/>
      <c r="D80" s="42">
        <f t="shared" si="4"/>
        <v>44821</v>
      </c>
      <c r="E80" s="22">
        <f t="shared" si="5"/>
        <v>6863.36</v>
      </c>
      <c r="F80" s="43">
        <f t="shared" si="6"/>
        <v>428.96</v>
      </c>
      <c r="G80" s="24">
        <f t="shared" si="7"/>
        <v>7292.32</v>
      </c>
    </row>
    <row r="81" spans="1:7" ht="12.75">
      <c r="A81" s="109" t="s">
        <v>69</v>
      </c>
      <c r="B81" s="109"/>
      <c r="C81" s="109"/>
      <c r="D81" s="42">
        <f t="shared" si="4"/>
        <v>44851</v>
      </c>
      <c r="E81" s="22">
        <f t="shared" si="5"/>
        <v>6863.36</v>
      </c>
      <c r="F81" s="43">
        <f t="shared" si="6"/>
        <v>428.96</v>
      </c>
      <c r="G81" s="24">
        <f t="shared" si="7"/>
        <v>7292.32</v>
      </c>
    </row>
    <row r="82" spans="1:7" ht="12.75">
      <c r="A82" s="109" t="s">
        <v>70</v>
      </c>
      <c r="B82" s="109"/>
      <c r="C82" s="109"/>
      <c r="D82" s="42">
        <f t="shared" si="4"/>
        <v>44882</v>
      </c>
      <c r="E82" s="22">
        <f t="shared" si="5"/>
        <v>6863.36</v>
      </c>
      <c r="F82" s="43">
        <f t="shared" si="6"/>
        <v>428.96</v>
      </c>
      <c r="G82" s="24">
        <f t="shared" si="7"/>
        <v>7292.32</v>
      </c>
    </row>
    <row r="83" spans="1:7" ht="12.75">
      <c r="A83" s="109" t="s">
        <v>71</v>
      </c>
      <c r="B83" s="109"/>
      <c r="C83" s="109"/>
      <c r="D83" s="42">
        <f t="shared" si="4"/>
        <v>44912</v>
      </c>
      <c r="E83" s="22">
        <f t="shared" si="5"/>
        <v>6863.36</v>
      </c>
      <c r="F83" s="43">
        <f t="shared" si="6"/>
        <v>428.96</v>
      </c>
      <c r="G83" s="24">
        <f t="shared" si="7"/>
        <v>7292.32</v>
      </c>
    </row>
    <row r="84" spans="1:7" ht="12.75">
      <c r="A84" s="109" t="s">
        <v>72</v>
      </c>
      <c r="B84" s="109"/>
      <c r="C84" s="109"/>
      <c r="D84" s="42">
        <f t="shared" si="4"/>
        <v>44943</v>
      </c>
      <c r="E84" s="22">
        <f t="shared" si="5"/>
        <v>6863.36</v>
      </c>
      <c r="F84" s="43">
        <f t="shared" si="6"/>
        <v>428.96</v>
      </c>
      <c r="G84" s="24">
        <f t="shared" si="7"/>
        <v>7292.32</v>
      </c>
    </row>
    <row r="85" spans="1:7" ht="12.75">
      <c r="A85" s="109" t="s">
        <v>73</v>
      </c>
      <c r="B85" s="109"/>
      <c r="C85" s="109"/>
      <c r="D85" s="42">
        <f>IF($A$49&lt;VALUE(LEFT(A85,2))," ",DATE(YEAR(D84+30),MONTH(D84+30),DAY(D84)))</f>
        <v>44974</v>
      </c>
      <c r="E85" s="22">
        <f>IF($A$49&lt;VALUE(LEFT(A85,2))," ",IF($A$49=VALUE(LEFT(A85,2)),$G$45-($E$50*($A$49-1)),E84))</f>
        <v>6863.36</v>
      </c>
      <c r="F85" s="43">
        <f>IF($A$49&lt;VALUE(LEFT(A85,2))," ",IF($A$49=VALUE(LEFT(A85,2)),$G$46-($F$50*($A$49-1)),F84))</f>
        <v>428.96</v>
      </c>
      <c r="G85" s="24">
        <f>IF($A$49&lt;VALUE(LEFT(A85,2))," ",SUM(E85:F85))</f>
        <v>7292.32</v>
      </c>
    </row>
    <row r="86" spans="1:7" ht="12.75">
      <c r="A86" s="109" t="s">
        <v>99</v>
      </c>
      <c r="B86" s="109"/>
      <c r="C86" s="109"/>
      <c r="D86" s="42">
        <f aca="true" t="shared" si="8" ref="D86:D103">IF($A$49&lt;VALUE(LEFT(A86,2))," ",DATE(YEAR(D85+30),MONTH(D85+30),DAY(D85)))</f>
        <v>45002</v>
      </c>
      <c r="E86" s="22">
        <f aca="true" t="shared" si="9" ref="E86:E103">IF($A$49&lt;VALUE(LEFT(A86,2))," ",IF($A$49=VALUE(LEFT(A86,2)),$G$45-($E$50*($A$49-1)),E85))</f>
        <v>6863.36</v>
      </c>
      <c r="F86" s="43">
        <f aca="true" t="shared" si="10" ref="F86:F103">IF($A$49&lt;VALUE(LEFT(A86,2))," ",IF($A$49=VALUE(LEFT(A86,2)),$G$46-($F$50*($A$49-1)),F85))</f>
        <v>428.96</v>
      </c>
      <c r="G86" s="24">
        <f aca="true" t="shared" si="11" ref="G86:G103">IF($A$49&lt;VALUE(LEFT(A86,2))," ",SUM(E86:F86))</f>
        <v>7292.32</v>
      </c>
    </row>
    <row r="87" spans="1:7" ht="12.75">
      <c r="A87" s="109" t="s">
        <v>100</v>
      </c>
      <c r="B87" s="109"/>
      <c r="C87" s="109"/>
      <c r="D87" s="42">
        <f t="shared" si="8"/>
        <v>45033</v>
      </c>
      <c r="E87" s="22">
        <f t="shared" si="9"/>
        <v>6863.36</v>
      </c>
      <c r="F87" s="43">
        <f t="shared" si="10"/>
        <v>428.96</v>
      </c>
      <c r="G87" s="24">
        <f t="shared" si="11"/>
        <v>7292.32</v>
      </c>
    </row>
    <row r="88" spans="1:7" ht="12.75">
      <c r="A88" s="109" t="s">
        <v>101</v>
      </c>
      <c r="B88" s="109"/>
      <c r="C88" s="109"/>
      <c r="D88" s="42">
        <f t="shared" si="8"/>
        <v>45063</v>
      </c>
      <c r="E88" s="22">
        <f t="shared" si="9"/>
        <v>6863.36</v>
      </c>
      <c r="F88" s="43">
        <f t="shared" si="10"/>
        <v>428.96</v>
      </c>
      <c r="G88" s="24">
        <f t="shared" si="11"/>
        <v>7292.32</v>
      </c>
    </row>
    <row r="89" spans="1:7" ht="12.75">
      <c r="A89" s="109" t="s">
        <v>102</v>
      </c>
      <c r="B89" s="109"/>
      <c r="C89" s="109"/>
      <c r="D89" s="42">
        <f t="shared" si="8"/>
        <v>45094</v>
      </c>
      <c r="E89" s="22">
        <f t="shared" si="9"/>
        <v>6863.36</v>
      </c>
      <c r="F89" s="43">
        <f t="shared" si="10"/>
        <v>428.96</v>
      </c>
      <c r="G89" s="24">
        <f t="shared" si="11"/>
        <v>7292.32</v>
      </c>
    </row>
    <row r="90" spans="1:7" ht="12.75">
      <c r="A90" s="109" t="s">
        <v>103</v>
      </c>
      <c r="B90" s="109"/>
      <c r="C90" s="109"/>
      <c r="D90" s="42">
        <f t="shared" si="8"/>
        <v>45124</v>
      </c>
      <c r="E90" s="22">
        <f t="shared" si="9"/>
        <v>6863.36</v>
      </c>
      <c r="F90" s="43">
        <f t="shared" si="10"/>
        <v>428.96</v>
      </c>
      <c r="G90" s="24">
        <f t="shared" si="11"/>
        <v>7292.32</v>
      </c>
    </row>
    <row r="91" spans="1:7" ht="12.75">
      <c r="A91" s="109" t="s">
        <v>104</v>
      </c>
      <c r="B91" s="109"/>
      <c r="C91" s="109"/>
      <c r="D91" s="42">
        <f t="shared" si="8"/>
        <v>45155</v>
      </c>
      <c r="E91" s="22">
        <f t="shared" si="9"/>
        <v>6863.36</v>
      </c>
      <c r="F91" s="43">
        <f t="shared" si="10"/>
        <v>428.96</v>
      </c>
      <c r="G91" s="24">
        <f t="shared" si="11"/>
        <v>7292.32</v>
      </c>
    </row>
    <row r="92" spans="1:7" ht="12.75">
      <c r="A92" s="109" t="s">
        <v>105</v>
      </c>
      <c r="B92" s="109"/>
      <c r="C92" s="109"/>
      <c r="D92" s="42">
        <f t="shared" si="8"/>
        <v>45186</v>
      </c>
      <c r="E92" s="22">
        <f t="shared" si="9"/>
        <v>6863.36</v>
      </c>
      <c r="F92" s="43">
        <f t="shared" si="10"/>
        <v>428.96</v>
      </c>
      <c r="G92" s="24">
        <f t="shared" si="11"/>
        <v>7292.32</v>
      </c>
    </row>
    <row r="93" spans="1:7" ht="12.75">
      <c r="A93" s="109" t="s">
        <v>106</v>
      </c>
      <c r="B93" s="109"/>
      <c r="C93" s="109"/>
      <c r="D93" s="42">
        <f t="shared" si="8"/>
        <v>45216</v>
      </c>
      <c r="E93" s="22">
        <f t="shared" si="9"/>
        <v>6863.36</v>
      </c>
      <c r="F93" s="43">
        <f t="shared" si="10"/>
        <v>428.96</v>
      </c>
      <c r="G93" s="24">
        <f t="shared" si="11"/>
        <v>7292.32</v>
      </c>
    </row>
    <row r="94" spans="1:7" ht="12.75">
      <c r="A94" s="109" t="s">
        <v>107</v>
      </c>
      <c r="B94" s="109"/>
      <c r="C94" s="109"/>
      <c r="D94" s="42">
        <f t="shared" si="8"/>
        <v>45247</v>
      </c>
      <c r="E94" s="22">
        <f t="shared" si="9"/>
        <v>6863.36</v>
      </c>
      <c r="F94" s="43">
        <f t="shared" si="10"/>
        <v>428.96</v>
      </c>
      <c r="G94" s="24">
        <f t="shared" si="11"/>
        <v>7292.32</v>
      </c>
    </row>
    <row r="95" spans="1:7" ht="12.75">
      <c r="A95" s="109" t="s">
        <v>108</v>
      </c>
      <c r="B95" s="109"/>
      <c r="C95" s="109"/>
      <c r="D95" s="42">
        <f t="shared" si="8"/>
        <v>45277</v>
      </c>
      <c r="E95" s="22">
        <f t="shared" si="9"/>
        <v>6863.36</v>
      </c>
      <c r="F95" s="43">
        <f t="shared" si="10"/>
        <v>428.96</v>
      </c>
      <c r="G95" s="24">
        <f t="shared" si="11"/>
        <v>7292.32</v>
      </c>
    </row>
    <row r="96" spans="1:7" ht="12.75">
      <c r="A96" s="109" t="s">
        <v>109</v>
      </c>
      <c r="B96" s="109"/>
      <c r="C96" s="109"/>
      <c r="D96" s="42">
        <f t="shared" si="8"/>
        <v>45308</v>
      </c>
      <c r="E96" s="22">
        <f t="shared" si="9"/>
        <v>6863.36</v>
      </c>
      <c r="F96" s="43">
        <f t="shared" si="10"/>
        <v>428.96</v>
      </c>
      <c r="G96" s="24">
        <f t="shared" si="11"/>
        <v>7292.32</v>
      </c>
    </row>
    <row r="97" spans="1:7" ht="12.75">
      <c r="A97" s="109" t="s">
        <v>110</v>
      </c>
      <c r="B97" s="109"/>
      <c r="C97" s="109"/>
      <c r="D97" s="42">
        <f t="shared" si="8"/>
        <v>45339</v>
      </c>
      <c r="E97" s="22">
        <f t="shared" si="9"/>
        <v>6863.36</v>
      </c>
      <c r="F97" s="43">
        <f t="shared" si="10"/>
        <v>428.96</v>
      </c>
      <c r="G97" s="24">
        <f t="shared" si="11"/>
        <v>7292.32</v>
      </c>
    </row>
    <row r="98" spans="1:7" ht="12.75">
      <c r="A98" s="109" t="s">
        <v>111</v>
      </c>
      <c r="B98" s="109"/>
      <c r="C98" s="109"/>
      <c r="D98" s="42">
        <f t="shared" si="8"/>
        <v>45368</v>
      </c>
      <c r="E98" s="22">
        <f t="shared" si="9"/>
        <v>6863.36</v>
      </c>
      <c r="F98" s="43">
        <f t="shared" si="10"/>
        <v>428.96</v>
      </c>
      <c r="G98" s="24">
        <f t="shared" si="11"/>
        <v>7292.32</v>
      </c>
    </row>
    <row r="99" spans="1:7" ht="12.75">
      <c r="A99" s="109" t="s">
        <v>112</v>
      </c>
      <c r="B99" s="109"/>
      <c r="C99" s="109"/>
      <c r="D99" s="42">
        <f t="shared" si="8"/>
        <v>45399</v>
      </c>
      <c r="E99" s="22">
        <f t="shared" si="9"/>
        <v>6863.36</v>
      </c>
      <c r="F99" s="43">
        <f t="shared" si="10"/>
        <v>428.96</v>
      </c>
      <c r="G99" s="24">
        <f t="shared" si="11"/>
        <v>7292.32</v>
      </c>
    </row>
    <row r="100" spans="1:7" ht="12.75">
      <c r="A100" s="109" t="s">
        <v>113</v>
      </c>
      <c r="B100" s="109"/>
      <c r="C100" s="109"/>
      <c r="D100" s="42">
        <f t="shared" si="8"/>
        <v>45429</v>
      </c>
      <c r="E100" s="22">
        <f t="shared" si="9"/>
        <v>6863.36</v>
      </c>
      <c r="F100" s="43">
        <f t="shared" si="10"/>
        <v>428.96</v>
      </c>
      <c r="G100" s="24">
        <f t="shared" si="11"/>
        <v>7292.32</v>
      </c>
    </row>
    <row r="101" spans="1:7" ht="12.75">
      <c r="A101" s="109" t="s">
        <v>114</v>
      </c>
      <c r="B101" s="109"/>
      <c r="C101" s="109"/>
      <c r="D101" s="42">
        <f t="shared" si="8"/>
        <v>45460</v>
      </c>
      <c r="E101" s="22">
        <f t="shared" si="9"/>
        <v>6863.36</v>
      </c>
      <c r="F101" s="43">
        <f t="shared" si="10"/>
        <v>428.96</v>
      </c>
      <c r="G101" s="24">
        <f t="shared" si="11"/>
        <v>7292.32</v>
      </c>
    </row>
    <row r="102" spans="1:7" ht="12.75">
      <c r="A102" s="109" t="s">
        <v>115</v>
      </c>
      <c r="B102" s="109"/>
      <c r="C102" s="109"/>
      <c r="D102" s="42">
        <f t="shared" si="8"/>
        <v>45490</v>
      </c>
      <c r="E102" s="22">
        <f t="shared" si="9"/>
        <v>6863.36</v>
      </c>
      <c r="F102" s="43">
        <f t="shared" si="10"/>
        <v>428.96</v>
      </c>
      <c r="G102" s="24">
        <f t="shared" si="11"/>
        <v>7292.32</v>
      </c>
    </row>
    <row r="103" spans="1:7" ht="12.75">
      <c r="A103" s="109" t="s">
        <v>116</v>
      </c>
      <c r="B103" s="109"/>
      <c r="C103" s="109"/>
      <c r="D103" s="42">
        <f t="shared" si="8"/>
        <v>45521</v>
      </c>
      <c r="E103" s="22">
        <f t="shared" si="9"/>
        <v>6863.36</v>
      </c>
      <c r="F103" s="43">
        <f t="shared" si="10"/>
        <v>428.96</v>
      </c>
      <c r="G103" s="24">
        <f t="shared" si="11"/>
        <v>7292.32</v>
      </c>
    </row>
    <row r="104" spans="1:7" ht="12.75">
      <c r="A104" s="109" t="s">
        <v>117</v>
      </c>
      <c r="B104" s="109"/>
      <c r="C104" s="109"/>
      <c r="D104" s="42">
        <f aca="true" t="shared" si="12" ref="D104:D109">IF($A$49&lt;VALUE(LEFT(A104,2))," ",DATE(YEAR(D103+30),MONTH(D103+30),DAY(D103)))</f>
        <v>45552</v>
      </c>
      <c r="E104" s="22">
        <f aca="true" t="shared" si="13" ref="E104:E109">IF($A$49&lt;VALUE(LEFT(A104,2))," ",IF($A$49=VALUE(LEFT(A104,2)),$G$45-($E$50*($A$49-1)),E103))</f>
        <v>6863.36</v>
      </c>
      <c r="F104" s="43">
        <f aca="true" t="shared" si="14" ref="F104:F109">IF($A$49&lt;VALUE(LEFT(A104,2))," ",IF($A$49=VALUE(LEFT(A104,2)),$G$46-($F$50*($A$49-1)),F103))</f>
        <v>428.96</v>
      </c>
      <c r="G104" s="24">
        <f aca="true" t="shared" si="15" ref="G104:G109">IF($A$49&lt;VALUE(LEFT(A104,2))," ",SUM(E104:F104))</f>
        <v>7292.32</v>
      </c>
    </row>
    <row r="105" spans="1:7" ht="12.75">
      <c r="A105" s="109" t="s">
        <v>118</v>
      </c>
      <c r="B105" s="109"/>
      <c r="C105" s="109"/>
      <c r="D105" s="42">
        <f t="shared" si="12"/>
        <v>45582</v>
      </c>
      <c r="E105" s="22">
        <f t="shared" si="13"/>
        <v>6863.36</v>
      </c>
      <c r="F105" s="43">
        <f t="shared" si="14"/>
        <v>428.96</v>
      </c>
      <c r="G105" s="24">
        <f t="shared" si="15"/>
        <v>7292.32</v>
      </c>
    </row>
    <row r="106" spans="1:7" ht="12.75">
      <c r="A106" s="109" t="s">
        <v>119</v>
      </c>
      <c r="B106" s="109"/>
      <c r="C106" s="109"/>
      <c r="D106" s="42">
        <f t="shared" si="12"/>
        <v>45613</v>
      </c>
      <c r="E106" s="22">
        <f t="shared" si="13"/>
        <v>6863.36</v>
      </c>
      <c r="F106" s="43">
        <f t="shared" si="14"/>
        <v>428.96</v>
      </c>
      <c r="G106" s="24">
        <f t="shared" si="15"/>
        <v>7292.32</v>
      </c>
    </row>
    <row r="107" spans="1:7" ht="12.75">
      <c r="A107" s="109" t="s">
        <v>120</v>
      </c>
      <c r="B107" s="109"/>
      <c r="C107" s="109"/>
      <c r="D107" s="42">
        <f t="shared" si="12"/>
        <v>45643</v>
      </c>
      <c r="E107" s="22">
        <f t="shared" si="13"/>
        <v>6863.36</v>
      </c>
      <c r="F107" s="43">
        <f t="shared" si="14"/>
        <v>428.96</v>
      </c>
      <c r="G107" s="24">
        <f t="shared" si="15"/>
        <v>7292.32</v>
      </c>
    </row>
    <row r="108" spans="1:7" ht="12.75">
      <c r="A108" s="109" t="s">
        <v>121</v>
      </c>
      <c r="B108" s="109"/>
      <c r="C108" s="109"/>
      <c r="D108" s="42">
        <f t="shared" si="12"/>
        <v>45674</v>
      </c>
      <c r="E108" s="22">
        <f t="shared" si="13"/>
        <v>6863.36</v>
      </c>
      <c r="F108" s="43">
        <f t="shared" si="14"/>
        <v>428.96</v>
      </c>
      <c r="G108" s="24">
        <f t="shared" si="15"/>
        <v>7292.32</v>
      </c>
    </row>
    <row r="109" spans="1:7" ht="12.75">
      <c r="A109" s="109" t="s">
        <v>122</v>
      </c>
      <c r="B109" s="109"/>
      <c r="C109" s="109"/>
      <c r="D109" s="42">
        <f t="shared" si="12"/>
        <v>45705</v>
      </c>
      <c r="E109" s="22">
        <f t="shared" si="13"/>
        <v>6863.419999999984</v>
      </c>
      <c r="F109" s="43">
        <f t="shared" si="14"/>
        <v>428.97000000000116</v>
      </c>
      <c r="G109" s="24">
        <f t="shared" si="15"/>
        <v>7292.389999999985</v>
      </c>
    </row>
    <row r="110" spans="2:7" ht="12.75">
      <c r="B110" s="34"/>
      <c r="E110" s="30"/>
      <c r="F110" s="29"/>
      <c r="G110" s="35"/>
    </row>
    <row r="111" ht="12.75">
      <c r="A111" s="27" t="s">
        <v>74</v>
      </c>
    </row>
    <row r="112" spans="2:6" ht="12.75">
      <c r="B112" s="3" t="s">
        <v>75</v>
      </c>
      <c r="F112" s="44">
        <f>D104</f>
        <v>45552</v>
      </c>
    </row>
    <row r="113" spans="2:9" ht="12.75">
      <c r="B113" s="3" t="s">
        <v>76</v>
      </c>
      <c r="F113" s="44">
        <f>DATE(YEAR(MAX(D50:D109)+30),MONTH(MAX(D50:D73)+30),DAY(F112))</f>
        <v>45733</v>
      </c>
      <c r="G113" s="45">
        <f>ROUND(((G26+G27)*((100-A35)/100))+(G31*(100-A35)/100),2)</f>
        <v>3500314.17</v>
      </c>
      <c r="I113" s="24"/>
    </row>
    <row r="114" ht="12.75">
      <c r="B114" s="3" t="s">
        <v>77</v>
      </c>
    </row>
    <row r="116" spans="1:4" ht="12.75">
      <c r="A116" s="32" t="s">
        <v>78</v>
      </c>
      <c r="B116" s="46"/>
      <c r="C116" s="46"/>
      <c r="D116" s="46"/>
    </row>
    <row r="117" spans="1:7" s="14" customFormat="1" ht="12.75">
      <c r="A117" s="98" t="s">
        <v>124</v>
      </c>
      <c r="B117" s="98"/>
      <c r="C117" s="98"/>
      <c r="D117" s="98"/>
      <c r="E117" s="98"/>
      <c r="F117" s="98"/>
      <c r="G117" s="98"/>
    </row>
    <row r="118" spans="1:4" s="14" customFormat="1" ht="12.75">
      <c r="A118" s="81" t="s">
        <v>79</v>
      </c>
      <c r="B118" s="81"/>
      <c r="C118" s="81"/>
      <c r="D118" s="81"/>
    </row>
    <row r="119" spans="1:4" s="14" customFormat="1" ht="12.75">
      <c r="A119" s="81" t="s">
        <v>80</v>
      </c>
      <c r="B119" s="81"/>
      <c r="C119" s="81"/>
      <c r="D119" s="81"/>
    </row>
    <row r="120" spans="1:4" s="14" customFormat="1" ht="12.75">
      <c r="A120" s="81" t="s">
        <v>81</v>
      </c>
      <c r="B120" s="81"/>
      <c r="C120" s="81"/>
      <c r="D120" s="81"/>
    </row>
    <row r="121" spans="1:4" s="14" customFormat="1" ht="12.75">
      <c r="A121" s="82" t="s">
        <v>82</v>
      </c>
      <c r="B121" s="81"/>
      <c r="C121" s="81"/>
      <c r="D121" s="81"/>
    </row>
    <row r="122" spans="1:4" s="14" customFormat="1" ht="12.75">
      <c r="A122" s="82" t="s">
        <v>83</v>
      </c>
      <c r="B122" s="81"/>
      <c r="C122" s="81"/>
      <c r="D122" s="81"/>
    </row>
    <row r="123" spans="1:4" s="14" customFormat="1" ht="12.75">
      <c r="A123" s="82" t="s">
        <v>84</v>
      </c>
      <c r="B123" s="81"/>
      <c r="C123" s="81"/>
      <c r="D123" s="81"/>
    </row>
    <row r="124" spans="1:4" s="14" customFormat="1" ht="12.75">
      <c r="A124" s="82" t="s">
        <v>85</v>
      </c>
      <c r="B124" s="81"/>
      <c r="C124" s="81"/>
      <c r="D124" s="81"/>
    </row>
    <row r="125" spans="1:4" s="14" customFormat="1" ht="12.75">
      <c r="A125" s="82" t="s">
        <v>86</v>
      </c>
      <c r="B125" s="81"/>
      <c r="C125" s="81"/>
      <c r="D125" s="81"/>
    </row>
    <row r="126" spans="1:7" s="14" customFormat="1" ht="12.75">
      <c r="A126" s="98" t="s">
        <v>125</v>
      </c>
      <c r="B126" s="98"/>
      <c r="C126" s="98"/>
      <c r="D126" s="98"/>
      <c r="E126" s="98"/>
      <c r="F126" s="98"/>
      <c r="G126" s="98"/>
    </row>
  </sheetData>
  <sheetProtection/>
  <mergeCells count="68">
    <mergeCell ref="A117:G117"/>
    <mergeCell ref="A126:G126"/>
    <mergeCell ref="A80:C80"/>
    <mergeCell ref="A81:C81"/>
    <mergeCell ref="A82:C82"/>
    <mergeCell ref="A83:C83"/>
    <mergeCell ref="A84:C84"/>
    <mergeCell ref="A85:C85"/>
    <mergeCell ref="A86:C86"/>
    <mergeCell ref="A87:C87"/>
    <mergeCell ref="A73:C73"/>
    <mergeCell ref="A74:C74"/>
    <mergeCell ref="A75:C75"/>
    <mergeCell ref="A76:C76"/>
    <mergeCell ref="A77:C77"/>
    <mergeCell ref="A78:C78"/>
    <mergeCell ref="A63:C63"/>
    <mergeCell ref="A64:C64"/>
    <mergeCell ref="A65:C65"/>
    <mergeCell ref="A66:C66"/>
    <mergeCell ref="A79:C79"/>
    <mergeCell ref="A68:C68"/>
    <mergeCell ref="A69:C69"/>
    <mergeCell ref="A70:C70"/>
    <mergeCell ref="A71:C71"/>
    <mergeCell ref="A72:C72"/>
    <mergeCell ref="A53:C53"/>
    <mergeCell ref="A54:C54"/>
    <mergeCell ref="A67:C67"/>
    <mergeCell ref="A56:C56"/>
    <mergeCell ref="A57:C57"/>
    <mergeCell ref="A58:C58"/>
    <mergeCell ref="A59:C59"/>
    <mergeCell ref="A60:C60"/>
    <mergeCell ref="A61:C61"/>
    <mergeCell ref="A62:C62"/>
    <mergeCell ref="A55:C55"/>
    <mergeCell ref="B3:F3"/>
    <mergeCell ref="B4:F4"/>
    <mergeCell ref="A5:G5"/>
    <mergeCell ref="F8:G8"/>
    <mergeCell ref="F9:G9"/>
    <mergeCell ref="B49:C49"/>
    <mergeCell ref="A50:C50"/>
    <mergeCell ref="A51:C51"/>
    <mergeCell ref="A52:C52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A106:C106"/>
    <mergeCell ref="A107:C107"/>
    <mergeCell ref="A108:C108"/>
    <mergeCell ref="A109:C109"/>
    <mergeCell ref="A100:C100"/>
    <mergeCell ref="A101:C101"/>
    <mergeCell ref="A102:C102"/>
    <mergeCell ref="A103:C103"/>
    <mergeCell ref="A104:C104"/>
    <mergeCell ref="A105:C105"/>
  </mergeCells>
  <conditionalFormatting sqref="B27 B13">
    <cfRule type="expression" priority="1" dxfId="18" stopIfTrue="1">
      <formula>G13=0</formula>
    </cfRule>
  </conditionalFormatting>
  <conditionalFormatting sqref="A51:C58">
    <cfRule type="expression" priority="2" dxfId="18" stopIfTrue="1">
      <formula>VALUE(NoDPSchedule)&lt;VALUE(LEFT(A51,1))</formula>
    </cfRule>
  </conditionalFormatting>
  <conditionalFormatting sqref="A59:C109">
    <cfRule type="expression" priority="3" dxfId="18" stopIfTrue="1">
      <formula>VALUE(NoDPSchedule)&lt;VALUE(LEFT(A59,2))</formula>
    </cfRule>
  </conditionalFormatting>
  <conditionalFormatting sqref="G13 G27">
    <cfRule type="expression" priority="4" dxfId="18" stopIfTrue="1">
      <formula>G13=0</formula>
    </cfRule>
  </conditionalFormatting>
  <conditionalFormatting sqref="D6">
    <cfRule type="expression" priority="5" dxfId="19" stopIfTrue="1">
      <formula>G7&lt;=TODAY()</formula>
    </cfRule>
  </conditionalFormatting>
  <printOptions horizontalCentered="1"/>
  <pageMargins left="0.25" right="0.25" top="0.5" bottom="0.5" header="0.5" footer="0.5"/>
  <pageSetup fitToHeight="1" fitToWidth="1" horizontalDpi="300" verticalDpi="300" orientation="portrait" paperSize="5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J118"/>
  <sheetViews>
    <sheetView zoomScalePageLayoutView="0" workbookViewId="0" topLeftCell="A1">
      <selection activeCell="A2" sqref="A2:IV2"/>
    </sheetView>
  </sheetViews>
  <sheetFormatPr defaultColWidth="12.375" defaultRowHeight="12.75" customHeight="1"/>
  <cols>
    <col min="1" max="4" width="12.375" style="14" customWidth="1"/>
    <col min="5" max="6" width="14.625" style="14" customWidth="1"/>
    <col min="7" max="7" width="22.00390625" style="14" customWidth="1"/>
    <col min="8" max="9" width="15.00390625" style="14" customWidth="1"/>
    <col min="10" max="10" width="14.125" style="14" customWidth="1"/>
    <col min="11" max="16384" width="12.375" style="14" customWidth="1"/>
  </cols>
  <sheetData>
    <row r="1" spans="1:5" ht="16.5" customHeight="1">
      <c r="A1" s="1" t="s">
        <v>0</v>
      </c>
      <c r="B1" s="47"/>
      <c r="C1" s="47"/>
      <c r="D1" s="47"/>
      <c r="E1" s="47"/>
    </row>
    <row r="2" spans="1:5" ht="16.5" customHeight="1" thickBot="1">
      <c r="A2" s="97" t="s">
        <v>128</v>
      </c>
      <c r="B2" s="47"/>
      <c r="C2" s="47"/>
      <c r="D2" s="47"/>
      <c r="E2" s="47"/>
    </row>
    <row r="3" spans="1:7" ht="14.25" customHeight="1" thickTop="1">
      <c r="A3" s="48"/>
      <c r="B3" s="100" t="s">
        <v>1</v>
      </c>
      <c r="C3" s="100"/>
      <c r="D3" s="100"/>
      <c r="E3" s="100"/>
      <c r="F3" s="100"/>
      <c r="G3" s="49"/>
    </row>
    <row r="4" spans="1:7" ht="14.25" customHeight="1">
      <c r="A4" s="50"/>
      <c r="B4" s="101" t="s">
        <v>2</v>
      </c>
      <c r="C4" s="101"/>
      <c r="D4" s="101"/>
      <c r="E4" s="101"/>
      <c r="F4" s="101"/>
      <c r="G4" s="51"/>
    </row>
    <row r="5" spans="1:7" ht="30" customHeight="1">
      <c r="A5" s="102" t="s">
        <v>123</v>
      </c>
      <c r="B5" s="103"/>
      <c r="C5" s="103"/>
      <c r="D5" s="103"/>
      <c r="E5" s="103"/>
      <c r="F5" s="103"/>
      <c r="G5" s="104"/>
    </row>
    <row r="6" spans="1:7" ht="13.5" customHeight="1" thickBot="1">
      <c r="A6" s="52">
        <f>IF(A41&lt;=12,12,A41)</f>
        <v>60</v>
      </c>
      <c r="B6" s="53"/>
      <c r="C6" s="53"/>
      <c r="D6" s="54" t="str">
        <f>IF(A41&gt;G7,"TERM IS SUBJECT FOR APPROVAL","SAMPLE COMPUTATION ONLY")</f>
        <v>TERM IS SUBJECT FOR APPROVAL</v>
      </c>
      <c r="E6" s="53"/>
      <c r="F6" s="53"/>
      <c r="G6" s="55"/>
    </row>
    <row r="7" ht="13.5" customHeight="1" thickTop="1">
      <c r="G7" s="56">
        <v>36</v>
      </c>
    </row>
    <row r="8" spans="1:7" ht="12.75">
      <c r="A8" s="57" t="s">
        <v>3</v>
      </c>
      <c r="B8" s="57" t="s">
        <v>4</v>
      </c>
      <c r="C8" s="57" t="s">
        <v>5</v>
      </c>
      <c r="D8" s="57" t="s">
        <v>6</v>
      </c>
      <c r="E8" s="57"/>
      <c r="F8" s="105" t="s">
        <v>7</v>
      </c>
      <c r="G8" s="105"/>
    </row>
    <row r="9" spans="1:7" ht="12.75">
      <c r="A9" s="13">
        <v>1</v>
      </c>
      <c r="B9" s="13">
        <v>610</v>
      </c>
      <c r="C9" s="13">
        <v>6</v>
      </c>
      <c r="D9" s="13">
        <v>22.4</v>
      </c>
      <c r="E9" s="13"/>
      <c r="F9" s="106" t="s">
        <v>127</v>
      </c>
      <c r="G9" s="106"/>
    </row>
    <row r="12" spans="1:7" ht="12.75">
      <c r="A12" s="15" t="s">
        <v>8</v>
      </c>
      <c r="B12" s="15"/>
      <c r="C12" s="16"/>
      <c r="D12" s="17"/>
      <c r="E12" s="17"/>
      <c r="F12" s="18" t="s">
        <v>9</v>
      </c>
      <c r="G12" s="19">
        <v>4425120</v>
      </c>
    </row>
    <row r="13" spans="1:7" ht="12.75">
      <c r="A13" s="14" t="s">
        <v>10</v>
      </c>
      <c r="B13" s="14" t="s">
        <v>11</v>
      </c>
      <c r="C13" s="58"/>
      <c r="F13" s="59"/>
      <c r="G13" s="60">
        <f>ROUND(IF(ISERROR(FIND("PARKING",Model,1)),IF(SellingPrice&gt;3199200,(G12-(G12/1.12)),0),(G12-(G12/1.12))),2)</f>
        <v>474120</v>
      </c>
    </row>
    <row r="14" spans="1:10" ht="12.75" hidden="1">
      <c r="A14" s="61">
        <v>0</v>
      </c>
      <c r="B14" s="14" t="str">
        <f>CONCATENATE(A14,"% Discount on ",A35,"% SFDP")</f>
        <v>0% Discount on 20% SFDP</v>
      </c>
      <c r="F14" s="59"/>
      <c r="G14" s="62">
        <v>0</v>
      </c>
      <c r="I14" s="62"/>
      <c r="J14" s="62"/>
    </row>
    <row r="15" spans="2:10" ht="12.75" hidden="1">
      <c r="B15" s="14" t="s">
        <v>12</v>
      </c>
      <c r="G15" s="62">
        <v>0</v>
      </c>
      <c r="I15" s="62"/>
      <c r="J15" s="62"/>
    </row>
    <row r="16" spans="2:10" ht="12.75" hidden="1">
      <c r="B16" s="14" t="s">
        <v>13</v>
      </c>
      <c r="G16" s="62">
        <v>0</v>
      </c>
      <c r="I16" s="62"/>
      <c r="J16" s="62"/>
    </row>
    <row r="17" spans="2:9" ht="12.75" hidden="1">
      <c r="B17" s="14" t="s">
        <v>14</v>
      </c>
      <c r="G17" s="62">
        <v>0</v>
      </c>
      <c r="I17" s="62"/>
    </row>
    <row r="18" spans="2:9" ht="12.75" hidden="1">
      <c r="B18" s="14" t="s">
        <v>15</v>
      </c>
      <c r="G18" s="62">
        <v>0</v>
      </c>
      <c r="I18" s="62"/>
    </row>
    <row r="19" spans="2:9" ht="12.75" hidden="1">
      <c r="B19" s="14" t="s">
        <v>17</v>
      </c>
      <c r="G19" s="62">
        <v>0</v>
      </c>
      <c r="I19" s="62"/>
    </row>
    <row r="20" spans="2:10" ht="12.75" hidden="1">
      <c r="B20" s="14" t="s">
        <v>18</v>
      </c>
      <c r="G20" s="62">
        <v>0</v>
      </c>
      <c r="H20" s="62"/>
      <c r="I20" s="62"/>
      <c r="J20" s="62"/>
    </row>
    <row r="21" spans="2:10" ht="12.75" hidden="1">
      <c r="B21" s="14" t="s">
        <v>19</v>
      </c>
      <c r="G21" s="62">
        <v>0</v>
      </c>
      <c r="J21" s="62"/>
    </row>
    <row r="22" spans="2:10" ht="12.75" hidden="1">
      <c r="B22" s="14" t="s">
        <v>20</v>
      </c>
      <c r="G22" s="62">
        <v>0</v>
      </c>
      <c r="J22" s="62"/>
    </row>
    <row r="23" spans="2:10" ht="12.75">
      <c r="B23" s="14" t="s">
        <v>21</v>
      </c>
      <c r="G23" s="62">
        <f>(G12-G13)*6%</f>
        <v>237060</v>
      </c>
      <c r="J23" s="62"/>
    </row>
    <row r="24" spans="2:10" ht="12.75" hidden="1">
      <c r="B24" s="14" t="s">
        <v>87</v>
      </c>
      <c r="G24" s="62">
        <v>0</v>
      </c>
      <c r="J24" s="62"/>
    </row>
    <row r="25" spans="6:10" ht="13.5" customHeight="1">
      <c r="F25" s="59"/>
      <c r="G25" s="63"/>
      <c r="J25" s="62"/>
    </row>
    <row r="26" spans="1:7" ht="13.5" customHeight="1">
      <c r="A26" s="15" t="s">
        <v>22</v>
      </c>
      <c r="B26" s="15"/>
      <c r="C26" s="16"/>
      <c r="D26" s="17"/>
      <c r="E26" s="17"/>
      <c r="F26" s="18" t="s">
        <v>9</v>
      </c>
      <c r="G26" s="19">
        <f>(SellingPrice-G13)-SUM(G14:G24)</f>
        <v>3713940</v>
      </c>
    </row>
    <row r="27" spans="1:9" ht="12.75">
      <c r="A27" s="14" t="s">
        <v>23</v>
      </c>
      <c r="B27" s="14" t="s">
        <v>11</v>
      </c>
      <c r="G27" s="62">
        <f>ROUND(IF(ISERROR(FIND("PARKING",Model,1)),IF(G26&gt;3199200,G26*12%,0),G26*12%),2)</f>
        <v>445672.8</v>
      </c>
      <c r="I27" s="62"/>
    </row>
    <row r="28" spans="1:7" ht="12.75" hidden="1">
      <c r="A28" s="61">
        <v>7</v>
      </c>
      <c r="B28" s="14" t="s">
        <v>24</v>
      </c>
      <c r="G28" s="62">
        <f>ROUND(G26*(A28/100),2)</f>
        <v>259975.8</v>
      </c>
    </row>
    <row r="29" spans="1:7" ht="12.75" hidden="1">
      <c r="A29" s="61"/>
      <c r="B29" s="14" t="s">
        <v>25</v>
      </c>
      <c r="F29" s="61">
        <f>IF(G29&gt;50000,50000,G29)</f>
        <v>0</v>
      </c>
      <c r="G29" s="62">
        <v>0</v>
      </c>
    </row>
    <row r="30" spans="1:7" ht="12.75" hidden="1">
      <c r="A30" s="61"/>
      <c r="B30" s="14" t="s">
        <v>26</v>
      </c>
      <c r="G30" s="62">
        <v>0</v>
      </c>
    </row>
    <row r="31" spans="1:7" ht="13.5" customHeight="1">
      <c r="A31" s="61"/>
      <c r="B31" s="14" t="s">
        <v>24</v>
      </c>
      <c r="G31" s="62">
        <f>ROUND(SUM(G28,G30,F29),2)</f>
        <v>259975.8</v>
      </c>
    </row>
    <row r="32" spans="1:7" ht="13.5" customHeight="1">
      <c r="A32" s="15" t="s">
        <v>27</v>
      </c>
      <c r="B32" s="15"/>
      <c r="C32" s="16"/>
      <c r="D32" s="17"/>
      <c r="E32" s="17"/>
      <c r="F32" s="18" t="s">
        <v>9</v>
      </c>
      <c r="G32" s="19">
        <f>G26+SUM(G27,G31)</f>
        <v>4419588.6</v>
      </c>
    </row>
    <row r="34" ht="12.75">
      <c r="A34" s="64" t="s">
        <v>28</v>
      </c>
    </row>
    <row r="35" spans="1:10" ht="12.75">
      <c r="A35" s="65">
        <v>20</v>
      </c>
      <c r="B35" s="14" t="str">
        <f>CONCATENATE("Downpayment ("&amp;A35&amp;"% of Selling Price)")</f>
        <v>Downpayment (20% of Selling Price)</v>
      </c>
      <c r="G35" s="62">
        <f>ROUND((G26+G27)*(A35/100),2)</f>
        <v>831922.56</v>
      </c>
      <c r="J35" s="62"/>
    </row>
    <row r="36" spans="1:10" ht="13.5" customHeight="1">
      <c r="A36" s="64"/>
      <c r="B36" s="14" t="s">
        <v>29</v>
      </c>
      <c r="G36" s="62">
        <f>ROUND(G31*(A35/100),2)</f>
        <v>51995.16</v>
      </c>
      <c r="J36" s="66"/>
    </row>
    <row r="37" spans="1:7" ht="13.5" customHeight="1">
      <c r="A37" s="15" t="s">
        <v>30</v>
      </c>
      <c r="B37" s="15"/>
      <c r="C37" s="16"/>
      <c r="D37" s="17"/>
      <c r="E37" s="17"/>
      <c r="F37" s="18" t="s">
        <v>9</v>
      </c>
      <c r="G37" s="19">
        <f>SUM(G35:G36)</f>
        <v>883917.7200000001</v>
      </c>
    </row>
    <row r="38" spans="1:7" ht="13.5" customHeight="1">
      <c r="A38" s="14" t="s">
        <v>10</v>
      </c>
      <c r="B38" s="14" t="s">
        <v>31</v>
      </c>
      <c r="F38" s="67">
        <f ca="1">NOW()</f>
        <v>43848.59633946759</v>
      </c>
      <c r="G38" s="62">
        <v>20000</v>
      </c>
    </row>
    <row r="39" spans="1:7" ht="13.5" customHeight="1">
      <c r="A39" s="15" t="s">
        <v>32</v>
      </c>
      <c r="B39" s="15"/>
      <c r="C39" s="16"/>
      <c r="D39" s="17"/>
      <c r="E39" s="17"/>
      <c r="F39" s="18" t="s">
        <v>9</v>
      </c>
      <c r="G39" s="19">
        <f>G37-G38</f>
        <v>863917.7200000001</v>
      </c>
    </row>
    <row r="40" ht="12.75">
      <c r="A40" s="61">
        <v>0</v>
      </c>
    </row>
    <row r="41" spans="1:7" ht="25.5" customHeight="1">
      <c r="A41" s="68">
        <v>60</v>
      </c>
      <c r="B41" s="108" t="s">
        <v>34</v>
      </c>
      <c r="C41" s="108"/>
      <c r="D41" s="69" t="s">
        <v>35</v>
      </c>
      <c r="E41" s="70" t="s">
        <v>36</v>
      </c>
      <c r="F41" s="71" t="s">
        <v>24</v>
      </c>
      <c r="G41" s="72" t="s">
        <v>37</v>
      </c>
    </row>
    <row r="42" spans="1:7" ht="12.75">
      <c r="A42" s="107" t="s">
        <v>38</v>
      </c>
      <c r="B42" s="107"/>
      <c r="C42" s="107"/>
      <c r="D42" s="73">
        <f>ReservationDate+19</f>
        <v>43867.59633946759</v>
      </c>
      <c r="E42" s="60">
        <f>ROUND((G37-G38-G36)/A41,2)</f>
        <v>13532.04</v>
      </c>
      <c r="F42" s="74">
        <f>ROUND(SUM(G36:G36)/A41,2)</f>
        <v>866.59</v>
      </c>
      <c r="G42" s="62">
        <f>SUM(E42:F42)</f>
        <v>14398.630000000001</v>
      </c>
    </row>
    <row r="43" spans="1:7" ht="12.75">
      <c r="A43" s="107" t="s">
        <v>39</v>
      </c>
      <c r="B43" s="107"/>
      <c r="C43" s="107"/>
      <c r="D43" s="73">
        <f>IF(AND(DAY(D42)&gt;2,DAY(D42)&lt;19),DATE(YEAR(D42+30),MONTH(D42+30),DAY(17)),DATE(YEAR(D42+30),MONTH(D42+30)+1,DAY(2)))</f>
        <v>43907</v>
      </c>
      <c r="E43" s="60">
        <f>IF($A$41&lt;VALUE(LEFT(A43,1))," ",IF($A$41=VALUE(LEFT(A43,1)),($G$37-$G$38-$G$36)-($E$42*($A$41-1)),E42))</f>
        <v>13532.04</v>
      </c>
      <c r="F43" s="74">
        <f>IF($A$41&lt;VALUE(LEFT(A43,1))," ",IF($A$41=VALUE(LEFT(A43,1)),$G$36-($F$42*($A$41-1)),F42))</f>
        <v>866.59</v>
      </c>
      <c r="G43" s="62">
        <f>IF($A$41&lt;VALUE(LEFT(A43,1))," ",SUM(E43:F43))</f>
        <v>14398.630000000001</v>
      </c>
    </row>
    <row r="44" spans="1:7" ht="12.75">
      <c r="A44" s="107" t="s">
        <v>40</v>
      </c>
      <c r="B44" s="107"/>
      <c r="C44" s="107"/>
      <c r="D44" s="73">
        <f>IF($A$41&lt;VALUE(LEFT(A44,1))," ",DATE(YEAR(D43+30),MONTH(D43+30),DAY(D43)))</f>
        <v>43938</v>
      </c>
      <c r="E44" s="60">
        <f aca="true" t="shared" si="0" ref="E44:E50">IF($A$41&lt;VALUE(LEFT(A44,1))," ",IF($A$41=VALUE(LEFT(A44,1)),($G$37-$G$38-$G$36)-($E$42*($A$41-1)),E43))</f>
        <v>13532.04</v>
      </c>
      <c r="F44" s="74">
        <f aca="true" t="shared" si="1" ref="F44:F50">IF($A$41&lt;VALUE(LEFT(A44,1))," ",IF($A$41=VALUE(LEFT(A44,1)),$G$36-($F$42*($A$41-1)),F43))</f>
        <v>866.59</v>
      </c>
      <c r="G44" s="62">
        <f aca="true" t="shared" si="2" ref="G44:G50">IF($A$41&lt;VALUE(LEFT(A44,1))," ",SUM(E44:F44))</f>
        <v>14398.630000000001</v>
      </c>
    </row>
    <row r="45" spans="1:7" ht="12.75">
      <c r="A45" s="107" t="s">
        <v>41</v>
      </c>
      <c r="B45" s="107"/>
      <c r="C45" s="107"/>
      <c r="D45" s="73">
        <f aca="true" t="shared" si="3" ref="D45:D50">IF($A$41&lt;VALUE(LEFT(A45,1))," ",DATE(YEAR(D44+30),MONTH(D44+30),DAY(D44)))</f>
        <v>43968</v>
      </c>
      <c r="E45" s="60">
        <f t="shared" si="0"/>
        <v>13532.04</v>
      </c>
      <c r="F45" s="74">
        <f t="shared" si="1"/>
        <v>866.59</v>
      </c>
      <c r="G45" s="62">
        <f t="shared" si="2"/>
        <v>14398.630000000001</v>
      </c>
    </row>
    <row r="46" spans="1:7" ht="12.75">
      <c r="A46" s="107" t="s">
        <v>42</v>
      </c>
      <c r="B46" s="107"/>
      <c r="C46" s="107"/>
      <c r="D46" s="73">
        <f t="shared" si="3"/>
        <v>43999</v>
      </c>
      <c r="E46" s="60">
        <f t="shared" si="0"/>
        <v>13532.04</v>
      </c>
      <c r="F46" s="74">
        <f t="shared" si="1"/>
        <v>866.59</v>
      </c>
      <c r="G46" s="62">
        <f t="shared" si="2"/>
        <v>14398.630000000001</v>
      </c>
    </row>
    <row r="47" spans="1:7" ht="12.75">
      <c r="A47" s="107" t="s">
        <v>43</v>
      </c>
      <c r="B47" s="107"/>
      <c r="C47" s="107"/>
      <c r="D47" s="73">
        <f t="shared" si="3"/>
        <v>44029</v>
      </c>
      <c r="E47" s="60">
        <f t="shared" si="0"/>
        <v>13532.04</v>
      </c>
      <c r="F47" s="74">
        <f t="shared" si="1"/>
        <v>866.59</v>
      </c>
      <c r="G47" s="62">
        <f t="shared" si="2"/>
        <v>14398.630000000001</v>
      </c>
    </row>
    <row r="48" spans="1:7" ht="12.75">
      <c r="A48" s="107" t="s">
        <v>44</v>
      </c>
      <c r="B48" s="107"/>
      <c r="C48" s="107"/>
      <c r="D48" s="73">
        <f t="shared" si="3"/>
        <v>44060</v>
      </c>
      <c r="E48" s="60">
        <f t="shared" si="0"/>
        <v>13532.04</v>
      </c>
      <c r="F48" s="74">
        <f t="shared" si="1"/>
        <v>866.59</v>
      </c>
      <c r="G48" s="62">
        <f t="shared" si="2"/>
        <v>14398.630000000001</v>
      </c>
    </row>
    <row r="49" spans="1:7" ht="12.75">
      <c r="A49" s="107" t="s">
        <v>45</v>
      </c>
      <c r="B49" s="107"/>
      <c r="C49" s="107"/>
      <c r="D49" s="73">
        <f t="shared" si="3"/>
        <v>44091</v>
      </c>
      <c r="E49" s="60">
        <f t="shared" si="0"/>
        <v>13532.04</v>
      </c>
      <c r="F49" s="74">
        <f t="shared" si="1"/>
        <v>866.59</v>
      </c>
      <c r="G49" s="62">
        <f t="shared" si="2"/>
        <v>14398.630000000001</v>
      </c>
    </row>
    <row r="50" spans="1:7" ht="12.75">
      <c r="A50" s="107" t="s">
        <v>46</v>
      </c>
      <c r="B50" s="107"/>
      <c r="C50" s="107"/>
      <c r="D50" s="73">
        <f t="shared" si="3"/>
        <v>44121</v>
      </c>
      <c r="E50" s="60">
        <f t="shared" si="0"/>
        <v>13532.04</v>
      </c>
      <c r="F50" s="74">
        <f t="shared" si="1"/>
        <v>866.59</v>
      </c>
      <c r="G50" s="62">
        <f t="shared" si="2"/>
        <v>14398.630000000001</v>
      </c>
    </row>
    <row r="51" spans="1:7" ht="12.75">
      <c r="A51" s="107" t="s">
        <v>47</v>
      </c>
      <c r="B51" s="107"/>
      <c r="C51" s="107"/>
      <c r="D51" s="73">
        <f>IF($A$41&lt;VALUE(LEFT(A51,2))," ",DATE(YEAR(D50+30),MONTH(D50+30),DAY(D50)))</f>
        <v>44152</v>
      </c>
      <c r="E51" s="60">
        <f>IF($A$41&lt;VALUE(LEFT(A51,2))," ",IF($A$41=VALUE(LEFT(A51,2)),($G$37-$G$38-$G$36)-($E$42*($A$41-1)),E50))</f>
        <v>13532.04</v>
      </c>
      <c r="F51" s="74">
        <f>IF($A$41&lt;VALUE(LEFT(A51,2))," ",IF($A$41=VALUE(LEFT(A51,2)),$G$36-($F$42*($A$41-1)),F50))</f>
        <v>866.59</v>
      </c>
      <c r="G51" s="62">
        <f>IF($A$41&lt;VALUE(LEFT(A51,2))," ",SUM(E51:F51))</f>
        <v>14398.630000000001</v>
      </c>
    </row>
    <row r="52" spans="1:7" ht="12.75">
      <c r="A52" s="107" t="s">
        <v>48</v>
      </c>
      <c r="B52" s="107"/>
      <c r="C52" s="107"/>
      <c r="D52" s="73">
        <f aca="true" t="shared" si="4" ref="D52:D77">IF($A$41&lt;VALUE(LEFT(A52,2))," ",DATE(YEAR(D51+30),MONTH(D51+30),DAY(D51)))</f>
        <v>44182</v>
      </c>
      <c r="E52" s="60">
        <f aca="true" t="shared" si="5" ref="E52:E64">IF($A$41&lt;VALUE(LEFT(A52,2))," ",IF($A$41=VALUE(LEFT(A52,2)),($G$37-$G$38-$G$36)-($E$42*($A$41-1)),E51))</f>
        <v>13532.04</v>
      </c>
      <c r="F52" s="74">
        <f aca="true" t="shared" si="6" ref="F52:F64">IF($A$41&lt;VALUE(LEFT(A52,2))," ",IF($A$41=VALUE(LEFT(A52,2)),$G$36-($F$42*($A$41-1)),F51))</f>
        <v>866.59</v>
      </c>
      <c r="G52" s="62">
        <f aca="true" t="shared" si="7" ref="G52:G64">IF($A$41&lt;VALUE(LEFT(A52,2))," ",SUM(E52:F52))</f>
        <v>14398.630000000001</v>
      </c>
    </row>
    <row r="53" spans="1:7" ht="12.75">
      <c r="A53" s="107" t="s">
        <v>49</v>
      </c>
      <c r="B53" s="107"/>
      <c r="C53" s="107"/>
      <c r="D53" s="73">
        <f t="shared" si="4"/>
        <v>44213</v>
      </c>
      <c r="E53" s="60">
        <f t="shared" si="5"/>
        <v>13532.04</v>
      </c>
      <c r="F53" s="74">
        <f t="shared" si="6"/>
        <v>866.59</v>
      </c>
      <c r="G53" s="62">
        <f t="shared" si="7"/>
        <v>14398.630000000001</v>
      </c>
    </row>
    <row r="54" spans="1:7" ht="12.75">
      <c r="A54" s="107" t="s">
        <v>50</v>
      </c>
      <c r="B54" s="107"/>
      <c r="C54" s="107"/>
      <c r="D54" s="73">
        <f t="shared" si="4"/>
        <v>44244</v>
      </c>
      <c r="E54" s="60">
        <f t="shared" si="5"/>
        <v>13532.04</v>
      </c>
      <c r="F54" s="74">
        <f t="shared" si="6"/>
        <v>866.59</v>
      </c>
      <c r="G54" s="62">
        <f t="shared" si="7"/>
        <v>14398.630000000001</v>
      </c>
    </row>
    <row r="55" spans="1:7" ht="12.75">
      <c r="A55" s="107" t="s">
        <v>51</v>
      </c>
      <c r="B55" s="107"/>
      <c r="C55" s="107"/>
      <c r="D55" s="73">
        <f t="shared" si="4"/>
        <v>44272</v>
      </c>
      <c r="E55" s="60">
        <f t="shared" si="5"/>
        <v>13532.04</v>
      </c>
      <c r="F55" s="74">
        <f t="shared" si="6"/>
        <v>866.59</v>
      </c>
      <c r="G55" s="62">
        <f t="shared" si="7"/>
        <v>14398.630000000001</v>
      </c>
    </row>
    <row r="56" spans="1:7" ht="12.75">
      <c r="A56" s="107" t="s">
        <v>52</v>
      </c>
      <c r="B56" s="107"/>
      <c r="C56" s="107"/>
      <c r="D56" s="73">
        <f t="shared" si="4"/>
        <v>44303</v>
      </c>
      <c r="E56" s="60">
        <f t="shared" si="5"/>
        <v>13532.04</v>
      </c>
      <c r="F56" s="74">
        <f t="shared" si="6"/>
        <v>866.59</v>
      </c>
      <c r="G56" s="62">
        <f t="shared" si="7"/>
        <v>14398.630000000001</v>
      </c>
    </row>
    <row r="57" spans="1:7" ht="12.75">
      <c r="A57" s="107" t="s">
        <v>53</v>
      </c>
      <c r="B57" s="107"/>
      <c r="C57" s="107"/>
      <c r="D57" s="73">
        <f t="shared" si="4"/>
        <v>44333</v>
      </c>
      <c r="E57" s="60">
        <f t="shared" si="5"/>
        <v>13532.04</v>
      </c>
      <c r="F57" s="74">
        <f t="shared" si="6"/>
        <v>866.59</v>
      </c>
      <c r="G57" s="62">
        <f t="shared" si="7"/>
        <v>14398.630000000001</v>
      </c>
    </row>
    <row r="58" spans="1:7" ht="12.75">
      <c r="A58" s="107" t="s">
        <v>54</v>
      </c>
      <c r="B58" s="107"/>
      <c r="C58" s="107"/>
      <c r="D58" s="73">
        <f t="shared" si="4"/>
        <v>44364</v>
      </c>
      <c r="E58" s="60">
        <f t="shared" si="5"/>
        <v>13532.04</v>
      </c>
      <c r="F58" s="74">
        <f t="shared" si="6"/>
        <v>866.59</v>
      </c>
      <c r="G58" s="62">
        <f t="shared" si="7"/>
        <v>14398.630000000001</v>
      </c>
    </row>
    <row r="59" spans="1:7" ht="12.75">
      <c r="A59" s="107" t="s">
        <v>55</v>
      </c>
      <c r="B59" s="107"/>
      <c r="C59" s="107"/>
      <c r="D59" s="73">
        <f t="shared" si="4"/>
        <v>44394</v>
      </c>
      <c r="E59" s="60">
        <f t="shared" si="5"/>
        <v>13532.04</v>
      </c>
      <c r="F59" s="74">
        <f t="shared" si="6"/>
        <v>866.59</v>
      </c>
      <c r="G59" s="62">
        <f t="shared" si="7"/>
        <v>14398.630000000001</v>
      </c>
    </row>
    <row r="60" spans="1:7" ht="12.75">
      <c r="A60" s="107" t="s">
        <v>56</v>
      </c>
      <c r="B60" s="107"/>
      <c r="C60" s="107"/>
      <c r="D60" s="73">
        <f t="shared" si="4"/>
        <v>44425</v>
      </c>
      <c r="E60" s="60">
        <f t="shared" si="5"/>
        <v>13532.04</v>
      </c>
      <c r="F60" s="74">
        <f t="shared" si="6"/>
        <v>866.59</v>
      </c>
      <c r="G60" s="62">
        <f t="shared" si="7"/>
        <v>14398.630000000001</v>
      </c>
    </row>
    <row r="61" spans="1:7" ht="12.75">
      <c r="A61" s="107" t="s">
        <v>57</v>
      </c>
      <c r="B61" s="107"/>
      <c r="C61" s="107"/>
      <c r="D61" s="73">
        <f t="shared" si="4"/>
        <v>44456</v>
      </c>
      <c r="E61" s="60">
        <f t="shared" si="5"/>
        <v>13532.04</v>
      </c>
      <c r="F61" s="74">
        <f t="shared" si="6"/>
        <v>866.59</v>
      </c>
      <c r="G61" s="62">
        <f t="shared" si="7"/>
        <v>14398.630000000001</v>
      </c>
    </row>
    <row r="62" spans="1:7" ht="12.75">
      <c r="A62" s="107" t="s">
        <v>58</v>
      </c>
      <c r="B62" s="107"/>
      <c r="C62" s="107"/>
      <c r="D62" s="73">
        <f t="shared" si="4"/>
        <v>44486</v>
      </c>
      <c r="E62" s="60">
        <f t="shared" si="5"/>
        <v>13532.04</v>
      </c>
      <c r="F62" s="74">
        <f t="shared" si="6"/>
        <v>866.59</v>
      </c>
      <c r="G62" s="62">
        <f t="shared" si="7"/>
        <v>14398.630000000001</v>
      </c>
    </row>
    <row r="63" spans="1:7" ht="12.75">
      <c r="A63" s="107" t="s">
        <v>59</v>
      </c>
      <c r="B63" s="107"/>
      <c r="C63" s="107"/>
      <c r="D63" s="73">
        <f t="shared" si="4"/>
        <v>44517</v>
      </c>
      <c r="E63" s="60">
        <f t="shared" si="5"/>
        <v>13532.04</v>
      </c>
      <c r="F63" s="74">
        <f t="shared" si="6"/>
        <v>866.59</v>
      </c>
      <c r="G63" s="62">
        <f t="shared" si="7"/>
        <v>14398.630000000001</v>
      </c>
    </row>
    <row r="64" spans="1:7" ht="12.75">
      <c r="A64" s="107" t="s">
        <v>60</v>
      </c>
      <c r="B64" s="107"/>
      <c r="C64" s="107"/>
      <c r="D64" s="73">
        <f t="shared" si="4"/>
        <v>44547</v>
      </c>
      <c r="E64" s="60">
        <f t="shared" si="5"/>
        <v>13532.04</v>
      </c>
      <c r="F64" s="74">
        <f t="shared" si="6"/>
        <v>866.59</v>
      </c>
      <c r="G64" s="62">
        <f t="shared" si="7"/>
        <v>14398.630000000001</v>
      </c>
    </row>
    <row r="65" spans="1:7" ht="12.75">
      <c r="A65" s="107" t="s">
        <v>61</v>
      </c>
      <c r="B65" s="107"/>
      <c r="C65" s="107"/>
      <c r="D65" s="73">
        <f t="shared" si="4"/>
        <v>44578</v>
      </c>
      <c r="E65" s="60">
        <f>IF($A$41&lt;VALUE(LEFT(A65,2))," ",IF($A$41=VALUE(LEFT(A65,2)),($G$37-$G$38-$G$36)-($E$42*($A$41-1)),E64))</f>
        <v>13532.04</v>
      </c>
      <c r="F65" s="74">
        <f>IF($A$41&lt;VALUE(LEFT(A65,2))," ",IF($A$41=VALUE(LEFT(A65,2)),$G$36-($F$42*($A$41-1)),F64))</f>
        <v>866.59</v>
      </c>
      <c r="G65" s="62">
        <f>IF($A$41&lt;VALUE(LEFT(A65,2))," ",SUM(E65:F65))</f>
        <v>14398.630000000001</v>
      </c>
    </row>
    <row r="66" spans="1:7" ht="12.75">
      <c r="A66" s="107" t="s">
        <v>62</v>
      </c>
      <c r="B66" s="107"/>
      <c r="C66" s="107"/>
      <c r="D66" s="73">
        <f t="shared" si="4"/>
        <v>44609</v>
      </c>
      <c r="E66" s="60">
        <f aca="true" t="shared" si="8" ref="E66:E77">IF($A$41&lt;VALUE(LEFT(A66,2))," ",IF($A$41=VALUE(LEFT(A66,2)),($G$37-$G$38-$G$36)-($E$42*($A$41-1)),E65))</f>
        <v>13532.04</v>
      </c>
      <c r="F66" s="74">
        <f aca="true" t="shared" si="9" ref="F66:F77">IF($A$41&lt;VALUE(LEFT(A66,2))," ",IF($A$41=VALUE(LEFT(A66,2)),$G$36-($F$42*($A$41-1)),F65))</f>
        <v>866.59</v>
      </c>
      <c r="G66" s="62">
        <f aca="true" t="shared" si="10" ref="G66:G77">IF($A$41&lt;VALUE(LEFT(A66,2))," ",SUM(E66:F66))</f>
        <v>14398.630000000001</v>
      </c>
    </row>
    <row r="67" spans="1:7" ht="12.75">
      <c r="A67" s="107" t="s">
        <v>63</v>
      </c>
      <c r="B67" s="107"/>
      <c r="C67" s="107"/>
      <c r="D67" s="73">
        <f t="shared" si="4"/>
        <v>44637</v>
      </c>
      <c r="E67" s="60">
        <f t="shared" si="8"/>
        <v>13532.04</v>
      </c>
      <c r="F67" s="74">
        <f t="shared" si="9"/>
        <v>866.59</v>
      </c>
      <c r="G67" s="62">
        <f t="shared" si="10"/>
        <v>14398.630000000001</v>
      </c>
    </row>
    <row r="68" spans="1:7" ht="12.75">
      <c r="A68" s="107" t="s">
        <v>64</v>
      </c>
      <c r="B68" s="107"/>
      <c r="C68" s="107"/>
      <c r="D68" s="73">
        <f t="shared" si="4"/>
        <v>44668</v>
      </c>
      <c r="E68" s="60">
        <f t="shared" si="8"/>
        <v>13532.04</v>
      </c>
      <c r="F68" s="74">
        <f t="shared" si="9"/>
        <v>866.59</v>
      </c>
      <c r="G68" s="62">
        <f t="shared" si="10"/>
        <v>14398.630000000001</v>
      </c>
    </row>
    <row r="69" spans="1:7" ht="12.75">
      <c r="A69" s="107" t="s">
        <v>65</v>
      </c>
      <c r="B69" s="107"/>
      <c r="C69" s="107"/>
      <c r="D69" s="73">
        <f t="shared" si="4"/>
        <v>44698</v>
      </c>
      <c r="E69" s="60">
        <f t="shared" si="8"/>
        <v>13532.04</v>
      </c>
      <c r="F69" s="74">
        <f t="shared" si="9"/>
        <v>866.59</v>
      </c>
      <c r="G69" s="62">
        <f t="shared" si="10"/>
        <v>14398.630000000001</v>
      </c>
    </row>
    <row r="70" spans="1:7" ht="12.75">
      <c r="A70" s="107" t="s">
        <v>66</v>
      </c>
      <c r="B70" s="107"/>
      <c r="C70" s="107"/>
      <c r="D70" s="73">
        <f t="shared" si="4"/>
        <v>44729</v>
      </c>
      <c r="E70" s="60">
        <f t="shared" si="8"/>
        <v>13532.04</v>
      </c>
      <c r="F70" s="74">
        <f t="shared" si="9"/>
        <v>866.59</v>
      </c>
      <c r="G70" s="62">
        <f t="shared" si="10"/>
        <v>14398.630000000001</v>
      </c>
    </row>
    <row r="71" spans="1:7" ht="12.75">
      <c r="A71" s="107" t="s">
        <v>67</v>
      </c>
      <c r="B71" s="107"/>
      <c r="C71" s="107"/>
      <c r="D71" s="73">
        <f t="shared" si="4"/>
        <v>44759</v>
      </c>
      <c r="E71" s="60">
        <f t="shared" si="8"/>
        <v>13532.04</v>
      </c>
      <c r="F71" s="74">
        <f t="shared" si="9"/>
        <v>866.59</v>
      </c>
      <c r="G71" s="62">
        <f t="shared" si="10"/>
        <v>14398.630000000001</v>
      </c>
    </row>
    <row r="72" spans="1:7" ht="12.75">
      <c r="A72" s="107" t="s">
        <v>68</v>
      </c>
      <c r="B72" s="107"/>
      <c r="C72" s="107"/>
      <c r="D72" s="73">
        <f t="shared" si="4"/>
        <v>44790</v>
      </c>
      <c r="E72" s="60">
        <f t="shared" si="8"/>
        <v>13532.04</v>
      </c>
      <c r="F72" s="74">
        <f t="shared" si="9"/>
        <v>866.59</v>
      </c>
      <c r="G72" s="62">
        <f t="shared" si="10"/>
        <v>14398.630000000001</v>
      </c>
    </row>
    <row r="73" spans="1:7" ht="12.75">
      <c r="A73" s="107" t="s">
        <v>69</v>
      </c>
      <c r="B73" s="107"/>
      <c r="C73" s="107"/>
      <c r="D73" s="73">
        <f t="shared" si="4"/>
        <v>44821</v>
      </c>
      <c r="E73" s="60">
        <f t="shared" si="8"/>
        <v>13532.04</v>
      </c>
      <c r="F73" s="74">
        <f t="shared" si="9"/>
        <v>866.59</v>
      </c>
      <c r="G73" s="62">
        <f t="shared" si="10"/>
        <v>14398.630000000001</v>
      </c>
    </row>
    <row r="74" spans="1:7" ht="12.75">
      <c r="A74" s="107" t="s">
        <v>70</v>
      </c>
      <c r="B74" s="107"/>
      <c r="C74" s="107"/>
      <c r="D74" s="73">
        <f t="shared" si="4"/>
        <v>44851</v>
      </c>
      <c r="E74" s="60">
        <f t="shared" si="8"/>
        <v>13532.04</v>
      </c>
      <c r="F74" s="74">
        <f t="shared" si="9"/>
        <v>866.59</v>
      </c>
      <c r="G74" s="62">
        <f t="shared" si="10"/>
        <v>14398.630000000001</v>
      </c>
    </row>
    <row r="75" spans="1:7" ht="12.75">
      <c r="A75" s="107" t="s">
        <v>71</v>
      </c>
      <c r="B75" s="107"/>
      <c r="C75" s="107"/>
      <c r="D75" s="73">
        <f t="shared" si="4"/>
        <v>44882</v>
      </c>
      <c r="E75" s="60">
        <f t="shared" si="8"/>
        <v>13532.04</v>
      </c>
      <c r="F75" s="74">
        <f t="shared" si="9"/>
        <v>866.59</v>
      </c>
      <c r="G75" s="62">
        <f t="shared" si="10"/>
        <v>14398.630000000001</v>
      </c>
    </row>
    <row r="76" spans="1:7" ht="12.75">
      <c r="A76" s="107" t="s">
        <v>72</v>
      </c>
      <c r="B76" s="107"/>
      <c r="C76" s="107"/>
      <c r="D76" s="73">
        <f t="shared" si="4"/>
        <v>44912</v>
      </c>
      <c r="E76" s="60">
        <f t="shared" si="8"/>
        <v>13532.04</v>
      </c>
      <c r="F76" s="74">
        <f t="shared" si="9"/>
        <v>866.59</v>
      </c>
      <c r="G76" s="62">
        <f t="shared" si="10"/>
        <v>14398.630000000001</v>
      </c>
    </row>
    <row r="77" spans="1:7" ht="12.75">
      <c r="A77" s="107" t="s">
        <v>73</v>
      </c>
      <c r="B77" s="107"/>
      <c r="C77" s="107"/>
      <c r="D77" s="73">
        <f t="shared" si="4"/>
        <v>44943</v>
      </c>
      <c r="E77" s="60">
        <f t="shared" si="8"/>
        <v>13532.04</v>
      </c>
      <c r="F77" s="74">
        <f t="shared" si="9"/>
        <v>866.59</v>
      </c>
      <c r="G77" s="62">
        <f t="shared" si="10"/>
        <v>14398.630000000001</v>
      </c>
    </row>
    <row r="78" spans="1:7" ht="12.75">
      <c r="A78" s="107" t="s">
        <v>99</v>
      </c>
      <c r="B78" s="107"/>
      <c r="C78" s="107"/>
      <c r="D78" s="73">
        <f aca="true" t="shared" si="11" ref="D78:D101">IF($A$41&lt;VALUE(LEFT(A78,2))," ",DATE(YEAR(D77+30),MONTH(D77+30),DAY(D77)))</f>
        <v>44974</v>
      </c>
      <c r="E78" s="60">
        <f aca="true" t="shared" si="12" ref="E78:E101">IF($A$41&lt;VALUE(LEFT(A78,2))," ",IF($A$41=VALUE(LEFT(A78,2)),($G$37-$G$38-$G$36)-($E$42*($A$41-1)),E77))</f>
        <v>13532.04</v>
      </c>
      <c r="F78" s="74">
        <f aca="true" t="shared" si="13" ref="F78:F101">IF($A$41&lt;VALUE(LEFT(A78,2))," ",IF($A$41=VALUE(LEFT(A78,2)),$G$36-($F$42*($A$41-1)),F77))</f>
        <v>866.59</v>
      </c>
      <c r="G78" s="62">
        <f aca="true" t="shared" si="14" ref="G78:G101">IF($A$41&lt;VALUE(LEFT(A78,2))," ",SUM(E78:F78))</f>
        <v>14398.630000000001</v>
      </c>
    </row>
    <row r="79" spans="1:7" ht="12.75">
      <c r="A79" s="107" t="s">
        <v>100</v>
      </c>
      <c r="B79" s="107"/>
      <c r="C79" s="107"/>
      <c r="D79" s="73">
        <f t="shared" si="11"/>
        <v>45002</v>
      </c>
      <c r="E79" s="60">
        <f t="shared" si="12"/>
        <v>13532.04</v>
      </c>
      <c r="F79" s="74">
        <f t="shared" si="13"/>
        <v>866.59</v>
      </c>
      <c r="G79" s="62">
        <f t="shared" si="14"/>
        <v>14398.630000000001</v>
      </c>
    </row>
    <row r="80" spans="1:7" ht="12.75">
      <c r="A80" s="107" t="s">
        <v>101</v>
      </c>
      <c r="B80" s="107"/>
      <c r="C80" s="107"/>
      <c r="D80" s="73">
        <f t="shared" si="11"/>
        <v>45033</v>
      </c>
      <c r="E80" s="60">
        <f t="shared" si="12"/>
        <v>13532.04</v>
      </c>
      <c r="F80" s="74">
        <f t="shared" si="13"/>
        <v>866.59</v>
      </c>
      <c r="G80" s="62">
        <f t="shared" si="14"/>
        <v>14398.630000000001</v>
      </c>
    </row>
    <row r="81" spans="1:7" ht="12.75">
      <c r="A81" s="107" t="s">
        <v>102</v>
      </c>
      <c r="B81" s="107"/>
      <c r="C81" s="107"/>
      <c r="D81" s="73">
        <f t="shared" si="11"/>
        <v>45063</v>
      </c>
      <c r="E81" s="60">
        <f t="shared" si="12"/>
        <v>13532.04</v>
      </c>
      <c r="F81" s="74">
        <f t="shared" si="13"/>
        <v>866.59</v>
      </c>
      <c r="G81" s="62">
        <f t="shared" si="14"/>
        <v>14398.630000000001</v>
      </c>
    </row>
    <row r="82" spans="1:7" ht="12.75">
      <c r="A82" s="107" t="s">
        <v>103</v>
      </c>
      <c r="B82" s="107"/>
      <c r="C82" s="107"/>
      <c r="D82" s="73">
        <f t="shared" si="11"/>
        <v>45094</v>
      </c>
      <c r="E82" s="60">
        <f t="shared" si="12"/>
        <v>13532.04</v>
      </c>
      <c r="F82" s="74">
        <f t="shared" si="13"/>
        <v>866.59</v>
      </c>
      <c r="G82" s="62">
        <f t="shared" si="14"/>
        <v>14398.630000000001</v>
      </c>
    </row>
    <row r="83" spans="1:7" ht="12.75">
      <c r="A83" s="107" t="s">
        <v>104</v>
      </c>
      <c r="B83" s="107"/>
      <c r="C83" s="107"/>
      <c r="D83" s="73">
        <f t="shared" si="11"/>
        <v>45124</v>
      </c>
      <c r="E83" s="60">
        <f t="shared" si="12"/>
        <v>13532.04</v>
      </c>
      <c r="F83" s="74">
        <f t="shared" si="13"/>
        <v>866.59</v>
      </c>
      <c r="G83" s="62">
        <f t="shared" si="14"/>
        <v>14398.630000000001</v>
      </c>
    </row>
    <row r="84" spans="1:7" ht="12.75">
      <c r="A84" s="107" t="s">
        <v>105</v>
      </c>
      <c r="B84" s="107"/>
      <c r="C84" s="107"/>
      <c r="D84" s="73">
        <f t="shared" si="11"/>
        <v>45155</v>
      </c>
      <c r="E84" s="60">
        <f t="shared" si="12"/>
        <v>13532.04</v>
      </c>
      <c r="F84" s="74">
        <f t="shared" si="13"/>
        <v>866.59</v>
      </c>
      <c r="G84" s="62">
        <f t="shared" si="14"/>
        <v>14398.630000000001</v>
      </c>
    </row>
    <row r="85" spans="1:7" ht="12.75">
      <c r="A85" s="107" t="s">
        <v>106</v>
      </c>
      <c r="B85" s="107"/>
      <c r="C85" s="107"/>
      <c r="D85" s="73">
        <f t="shared" si="11"/>
        <v>45186</v>
      </c>
      <c r="E85" s="60">
        <f t="shared" si="12"/>
        <v>13532.04</v>
      </c>
      <c r="F85" s="74">
        <f t="shared" si="13"/>
        <v>866.59</v>
      </c>
      <c r="G85" s="62">
        <f t="shared" si="14"/>
        <v>14398.630000000001</v>
      </c>
    </row>
    <row r="86" spans="1:7" ht="12.75">
      <c r="A86" s="107" t="s">
        <v>107</v>
      </c>
      <c r="B86" s="107"/>
      <c r="C86" s="107"/>
      <c r="D86" s="73">
        <f t="shared" si="11"/>
        <v>45216</v>
      </c>
      <c r="E86" s="60">
        <f t="shared" si="12"/>
        <v>13532.04</v>
      </c>
      <c r="F86" s="74">
        <f t="shared" si="13"/>
        <v>866.59</v>
      </c>
      <c r="G86" s="62">
        <f t="shared" si="14"/>
        <v>14398.630000000001</v>
      </c>
    </row>
    <row r="87" spans="1:7" ht="12.75">
      <c r="A87" s="107" t="s">
        <v>108</v>
      </c>
      <c r="B87" s="107"/>
      <c r="C87" s="107"/>
      <c r="D87" s="73">
        <f t="shared" si="11"/>
        <v>45247</v>
      </c>
      <c r="E87" s="60">
        <f t="shared" si="12"/>
        <v>13532.04</v>
      </c>
      <c r="F87" s="74">
        <f t="shared" si="13"/>
        <v>866.59</v>
      </c>
      <c r="G87" s="62">
        <f t="shared" si="14"/>
        <v>14398.630000000001</v>
      </c>
    </row>
    <row r="88" spans="1:7" ht="12.75">
      <c r="A88" s="107" t="s">
        <v>109</v>
      </c>
      <c r="B88" s="107"/>
      <c r="C88" s="107"/>
      <c r="D88" s="73">
        <f t="shared" si="11"/>
        <v>45277</v>
      </c>
      <c r="E88" s="60">
        <f t="shared" si="12"/>
        <v>13532.04</v>
      </c>
      <c r="F88" s="74">
        <f t="shared" si="13"/>
        <v>866.59</v>
      </c>
      <c r="G88" s="62">
        <f t="shared" si="14"/>
        <v>14398.630000000001</v>
      </c>
    </row>
    <row r="89" spans="1:7" ht="12.75">
      <c r="A89" s="107" t="s">
        <v>110</v>
      </c>
      <c r="B89" s="107"/>
      <c r="C89" s="107"/>
      <c r="D89" s="73">
        <f t="shared" si="11"/>
        <v>45308</v>
      </c>
      <c r="E89" s="60">
        <f t="shared" si="12"/>
        <v>13532.04</v>
      </c>
      <c r="F89" s="74">
        <f t="shared" si="13"/>
        <v>866.59</v>
      </c>
      <c r="G89" s="62">
        <f t="shared" si="14"/>
        <v>14398.630000000001</v>
      </c>
    </row>
    <row r="90" spans="1:7" ht="12.75">
      <c r="A90" s="107" t="s">
        <v>111</v>
      </c>
      <c r="B90" s="107"/>
      <c r="C90" s="107"/>
      <c r="D90" s="73">
        <f t="shared" si="11"/>
        <v>45339</v>
      </c>
      <c r="E90" s="60">
        <f t="shared" si="12"/>
        <v>13532.04</v>
      </c>
      <c r="F90" s="74">
        <f t="shared" si="13"/>
        <v>866.59</v>
      </c>
      <c r="G90" s="62">
        <f t="shared" si="14"/>
        <v>14398.630000000001</v>
      </c>
    </row>
    <row r="91" spans="1:7" ht="12.75">
      <c r="A91" s="107" t="s">
        <v>112</v>
      </c>
      <c r="B91" s="107"/>
      <c r="C91" s="107"/>
      <c r="D91" s="73">
        <f t="shared" si="11"/>
        <v>45368</v>
      </c>
      <c r="E91" s="60">
        <f t="shared" si="12"/>
        <v>13532.04</v>
      </c>
      <c r="F91" s="74">
        <f t="shared" si="13"/>
        <v>866.59</v>
      </c>
      <c r="G91" s="62">
        <f t="shared" si="14"/>
        <v>14398.630000000001</v>
      </c>
    </row>
    <row r="92" spans="1:7" ht="12.75">
      <c r="A92" s="107" t="s">
        <v>113</v>
      </c>
      <c r="B92" s="107"/>
      <c r="C92" s="107"/>
      <c r="D92" s="73">
        <f t="shared" si="11"/>
        <v>45399</v>
      </c>
      <c r="E92" s="60">
        <f t="shared" si="12"/>
        <v>13532.04</v>
      </c>
      <c r="F92" s="74">
        <f t="shared" si="13"/>
        <v>866.59</v>
      </c>
      <c r="G92" s="62">
        <f t="shared" si="14"/>
        <v>14398.630000000001</v>
      </c>
    </row>
    <row r="93" spans="1:7" ht="12.75">
      <c r="A93" s="107" t="s">
        <v>114</v>
      </c>
      <c r="B93" s="107"/>
      <c r="C93" s="107"/>
      <c r="D93" s="73">
        <f t="shared" si="11"/>
        <v>45429</v>
      </c>
      <c r="E93" s="60">
        <f t="shared" si="12"/>
        <v>13532.04</v>
      </c>
      <c r="F93" s="74">
        <f t="shared" si="13"/>
        <v>866.59</v>
      </c>
      <c r="G93" s="62">
        <f t="shared" si="14"/>
        <v>14398.630000000001</v>
      </c>
    </row>
    <row r="94" spans="1:7" ht="12.75">
      <c r="A94" s="107" t="s">
        <v>115</v>
      </c>
      <c r="B94" s="107"/>
      <c r="C94" s="107"/>
      <c r="D94" s="73">
        <f t="shared" si="11"/>
        <v>45460</v>
      </c>
      <c r="E94" s="60">
        <f t="shared" si="12"/>
        <v>13532.04</v>
      </c>
      <c r="F94" s="74">
        <f t="shared" si="13"/>
        <v>866.59</v>
      </c>
      <c r="G94" s="62">
        <f t="shared" si="14"/>
        <v>14398.630000000001</v>
      </c>
    </row>
    <row r="95" spans="1:7" ht="12.75">
      <c r="A95" s="107" t="s">
        <v>116</v>
      </c>
      <c r="B95" s="107"/>
      <c r="C95" s="107"/>
      <c r="D95" s="73">
        <f t="shared" si="11"/>
        <v>45490</v>
      </c>
      <c r="E95" s="60">
        <f t="shared" si="12"/>
        <v>13532.04</v>
      </c>
      <c r="F95" s="74">
        <f t="shared" si="13"/>
        <v>866.59</v>
      </c>
      <c r="G95" s="62">
        <f t="shared" si="14"/>
        <v>14398.630000000001</v>
      </c>
    </row>
    <row r="96" spans="1:7" ht="12.75">
      <c r="A96" s="107" t="s">
        <v>117</v>
      </c>
      <c r="B96" s="107"/>
      <c r="C96" s="107"/>
      <c r="D96" s="73">
        <f t="shared" si="11"/>
        <v>45521</v>
      </c>
      <c r="E96" s="60">
        <f t="shared" si="12"/>
        <v>13532.04</v>
      </c>
      <c r="F96" s="74">
        <f t="shared" si="13"/>
        <v>866.59</v>
      </c>
      <c r="G96" s="62">
        <f t="shared" si="14"/>
        <v>14398.630000000001</v>
      </c>
    </row>
    <row r="97" spans="1:7" ht="12.75">
      <c r="A97" s="107" t="s">
        <v>118</v>
      </c>
      <c r="B97" s="107"/>
      <c r="C97" s="107"/>
      <c r="D97" s="73">
        <f t="shared" si="11"/>
        <v>45552</v>
      </c>
      <c r="E97" s="60">
        <f t="shared" si="12"/>
        <v>13532.04</v>
      </c>
      <c r="F97" s="74">
        <f t="shared" si="13"/>
        <v>866.59</v>
      </c>
      <c r="G97" s="62">
        <f t="shared" si="14"/>
        <v>14398.630000000001</v>
      </c>
    </row>
    <row r="98" spans="1:7" ht="12.75">
      <c r="A98" s="107" t="s">
        <v>119</v>
      </c>
      <c r="B98" s="107"/>
      <c r="C98" s="107"/>
      <c r="D98" s="73">
        <f t="shared" si="11"/>
        <v>45582</v>
      </c>
      <c r="E98" s="60">
        <f t="shared" si="12"/>
        <v>13532.04</v>
      </c>
      <c r="F98" s="74">
        <f t="shared" si="13"/>
        <v>866.59</v>
      </c>
      <c r="G98" s="62">
        <f t="shared" si="14"/>
        <v>14398.630000000001</v>
      </c>
    </row>
    <row r="99" spans="1:7" ht="12.75">
      <c r="A99" s="107" t="s">
        <v>120</v>
      </c>
      <c r="B99" s="107"/>
      <c r="C99" s="107"/>
      <c r="D99" s="73">
        <f t="shared" si="11"/>
        <v>45613</v>
      </c>
      <c r="E99" s="60">
        <f t="shared" si="12"/>
        <v>13532.04</v>
      </c>
      <c r="F99" s="74">
        <f t="shared" si="13"/>
        <v>866.59</v>
      </c>
      <c r="G99" s="62">
        <f t="shared" si="14"/>
        <v>14398.630000000001</v>
      </c>
    </row>
    <row r="100" spans="1:7" ht="12.75">
      <c r="A100" s="107" t="s">
        <v>121</v>
      </c>
      <c r="B100" s="107"/>
      <c r="C100" s="107"/>
      <c r="D100" s="73">
        <f t="shared" si="11"/>
        <v>45643</v>
      </c>
      <c r="E100" s="60">
        <f t="shared" si="12"/>
        <v>13532.04</v>
      </c>
      <c r="F100" s="74">
        <f t="shared" si="13"/>
        <v>866.59</v>
      </c>
      <c r="G100" s="62">
        <f t="shared" si="14"/>
        <v>14398.630000000001</v>
      </c>
    </row>
    <row r="101" spans="1:7" ht="12.75">
      <c r="A101" s="107" t="s">
        <v>122</v>
      </c>
      <c r="B101" s="107"/>
      <c r="C101" s="107"/>
      <c r="D101" s="73">
        <f t="shared" si="11"/>
        <v>45674</v>
      </c>
      <c r="E101" s="60">
        <f t="shared" si="12"/>
        <v>13532.199999999953</v>
      </c>
      <c r="F101" s="74">
        <f t="shared" si="13"/>
        <v>866.3499999999985</v>
      </c>
      <c r="G101" s="62">
        <f t="shared" si="14"/>
        <v>14398.549999999952</v>
      </c>
    </row>
    <row r="102" spans="2:7" ht="12.75">
      <c r="B102" s="75"/>
      <c r="E102" s="76"/>
      <c r="F102" s="67"/>
      <c r="G102" s="77"/>
    </row>
    <row r="103" ht="12.75">
      <c r="A103" s="64" t="s">
        <v>74</v>
      </c>
    </row>
    <row r="104" spans="2:6" ht="12.75">
      <c r="B104" s="14" t="s">
        <v>75</v>
      </c>
      <c r="F104" s="78">
        <f>D96</f>
        <v>45521</v>
      </c>
    </row>
    <row r="105" spans="2:9" ht="12.75">
      <c r="B105" s="14" t="s">
        <v>76</v>
      </c>
      <c r="F105" s="78">
        <f>D101+31</f>
        <v>45705</v>
      </c>
      <c r="G105" s="79">
        <f>ROUND(((G26+G27)*((100-A35)/100))+(G31*(100-A35)/100),2)</f>
        <v>3535670.88</v>
      </c>
      <c r="I105" s="62"/>
    </row>
    <row r="106" ht="12.75">
      <c r="B106" s="14" t="s">
        <v>77</v>
      </c>
    </row>
    <row r="108" spans="1:4" ht="12.75">
      <c r="A108" s="80" t="s">
        <v>78</v>
      </c>
      <c r="B108" s="81"/>
      <c r="C108" s="81"/>
      <c r="D108" s="81"/>
    </row>
    <row r="109" spans="1:7" ht="12.75">
      <c r="A109" s="98" t="s">
        <v>124</v>
      </c>
      <c r="B109" s="98"/>
      <c r="C109" s="98"/>
      <c r="D109" s="98"/>
      <c r="E109" s="98"/>
      <c r="F109" s="98"/>
      <c r="G109" s="98"/>
    </row>
    <row r="110" spans="1:4" ht="12.75">
      <c r="A110" s="81" t="s">
        <v>79</v>
      </c>
      <c r="B110" s="81"/>
      <c r="C110" s="81"/>
      <c r="D110" s="81"/>
    </row>
    <row r="111" spans="1:4" ht="12.75">
      <c r="A111" s="81" t="s">
        <v>80</v>
      </c>
      <c r="B111" s="81"/>
      <c r="C111" s="81"/>
      <c r="D111" s="81"/>
    </row>
    <row r="112" spans="1:4" ht="12.75">
      <c r="A112" s="81" t="s">
        <v>81</v>
      </c>
      <c r="B112" s="81"/>
      <c r="C112" s="81"/>
      <c r="D112" s="81"/>
    </row>
    <row r="113" spans="1:4" ht="12.75">
      <c r="A113" s="82" t="s">
        <v>82</v>
      </c>
      <c r="B113" s="81"/>
      <c r="C113" s="81"/>
      <c r="D113" s="81"/>
    </row>
    <row r="114" spans="1:4" ht="12.75">
      <c r="A114" s="82" t="s">
        <v>83</v>
      </c>
      <c r="B114" s="81"/>
      <c r="C114" s="81"/>
      <c r="D114" s="81"/>
    </row>
    <row r="115" spans="1:4" ht="12.75">
      <c r="A115" s="82" t="s">
        <v>84</v>
      </c>
      <c r="B115" s="81"/>
      <c r="C115" s="81"/>
      <c r="D115" s="81"/>
    </row>
    <row r="116" spans="1:4" ht="12.75">
      <c r="A116" s="82" t="s">
        <v>85</v>
      </c>
      <c r="B116" s="81"/>
      <c r="C116" s="81"/>
      <c r="D116" s="81"/>
    </row>
    <row r="117" spans="1:4" ht="12.75">
      <c r="A117" s="82" t="s">
        <v>86</v>
      </c>
      <c r="B117" s="81"/>
      <c r="C117" s="81"/>
      <c r="D117" s="81"/>
    </row>
    <row r="118" spans="1:7" ht="12.75">
      <c r="A118" s="98" t="s">
        <v>125</v>
      </c>
      <c r="B118" s="98"/>
      <c r="C118" s="98"/>
      <c r="D118" s="98"/>
      <c r="E118" s="98"/>
      <c r="F118" s="98"/>
      <c r="G118" s="98"/>
    </row>
  </sheetData>
  <sheetProtection/>
  <mergeCells count="68">
    <mergeCell ref="A109:G109"/>
    <mergeCell ref="A118:G118"/>
    <mergeCell ref="A72:C72"/>
    <mergeCell ref="A73:C73"/>
    <mergeCell ref="A74:C74"/>
    <mergeCell ref="A75:C75"/>
    <mergeCell ref="A76:C76"/>
    <mergeCell ref="A77:C77"/>
    <mergeCell ref="A78:C78"/>
    <mergeCell ref="A79:C79"/>
    <mergeCell ref="A65:C65"/>
    <mergeCell ref="A66:C66"/>
    <mergeCell ref="A67:C67"/>
    <mergeCell ref="A68:C68"/>
    <mergeCell ref="A69:C69"/>
    <mergeCell ref="A70:C70"/>
    <mergeCell ref="A55:C55"/>
    <mergeCell ref="A56:C56"/>
    <mergeCell ref="A57:C57"/>
    <mergeCell ref="A58:C58"/>
    <mergeCell ref="A71:C71"/>
    <mergeCell ref="A60:C60"/>
    <mergeCell ref="A61:C61"/>
    <mergeCell ref="A62:C62"/>
    <mergeCell ref="A63:C63"/>
    <mergeCell ref="A64:C64"/>
    <mergeCell ref="A45:C45"/>
    <mergeCell ref="A46:C46"/>
    <mergeCell ref="A59:C59"/>
    <mergeCell ref="A48:C48"/>
    <mergeCell ref="A49:C49"/>
    <mergeCell ref="A50:C50"/>
    <mergeCell ref="A51:C51"/>
    <mergeCell ref="A52:C52"/>
    <mergeCell ref="A53:C53"/>
    <mergeCell ref="A54:C54"/>
    <mergeCell ref="A47:C47"/>
    <mergeCell ref="B3:F3"/>
    <mergeCell ref="B4:F4"/>
    <mergeCell ref="A5:G5"/>
    <mergeCell ref="F8:G8"/>
    <mergeCell ref="F9:G9"/>
    <mergeCell ref="B41:C41"/>
    <mergeCell ref="A42:C42"/>
    <mergeCell ref="A43:C43"/>
    <mergeCell ref="A44:C44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8:C98"/>
    <mergeCell ref="A99:C99"/>
    <mergeCell ref="A100:C100"/>
    <mergeCell ref="A101:C101"/>
    <mergeCell ref="A92:C92"/>
    <mergeCell ref="A93:C93"/>
    <mergeCell ref="A94:C94"/>
    <mergeCell ref="A95:C95"/>
    <mergeCell ref="A96:C96"/>
    <mergeCell ref="A97:C97"/>
  </mergeCells>
  <conditionalFormatting sqref="B13 B27">
    <cfRule type="expression" priority="5" dxfId="18" stopIfTrue="1">
      <formula>G13=0</formula>
    </cfRule>
  </conditionalFormatting>
  <conditionalFormatting sqref="A43:C50">
    <cfRule type="expression" priority="4" dxfId="18" stopIfTrue="1">
      <formula>VALUE(NoDPSchedule)&lt;VALUE(LEFT(A43,1))</formula>
    </cfRule>
  </conditionalFormatting>
  <conditionalFormatting sqref="A51:C101">
    <cfRule type="expression" priority="3" dxfId="18" stopIfTrue="1">
      <formula>VALUE(NoDPSchedule)&lt;VALUE(LEFT(A51,2))</formula>
    </cfRule>
  </conditionalFormatting>
  <conditionalFormatting sqref="G13 G27">
    <cfRule type="expression" priority="2" dxfId="18" stopIfTrue="1">
      <formula>G13=0</formula>
    </cfRule>
  </conditionalFormatting>
  <conditionalFormatting sqref="D6">
    <cfRule type="expression" priority="1" dxfId="20" stopIfTrue="1">
      <formula>G7&lt;=TODAY()</formula>
    </cfRule>
  </conditionalFormatting>
  <printOptions horizontalCentered="1"/>
  <pageMargins left="0.25" right="0.25" top="0.5" bottom="0.5" header="0.5" footer="0.5"/>
  <pageSetup fitToHeight="1" fitToWidth="1" horizontalDpi="300" verticalDpi="300"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AVIDA Magnaye, Noralyn E.</dc:creator>
  <cp:keywords/>
  <dc:description/>
  <cp:lastModifiedBy>AVIDA Ballesteros, Asther M.</cp:lastModifiedBy>
  <cp:lastPrinted>2020-01-08T08:30:57Z</cp:lastPrinted>
  <dcterms:created xsi:type="dcterms:W3CDTF">2019-05-22T03:14:51Z</dcterms:created>
  <dcterms:modified xsi:type="dcterms:W3CDTF">2020-01-18T06:18:50Z</dcterms:modified>
  <cp:category/>
  <cp:version/>
  <cp:contentType/>
  <cp:contentStatus/>
</cp:coreProperties>
</file>